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025" activeTab="2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'Перечень_Товаров'!$A$1:$F$197</definedName>
  </definedNames>
  <calcPr fullCalcOnLoad="1"/>
</workbook>
</file>

<file path=xl/sharedStrings.xml><?xml version="1.0" encoding="utf-8"?>
<sst xmlns="http://schemas.openxmlformats.org/spreadsheetml/2006/main" count="431" uniqueCount="243">
  <si>
    <t>Брелоки для ключей (с ячейкой для № комнаты) 10шт./упак.</t>
  </si>
  <si>
    <t>Карандаши простые с ластиком типа Koh-I-Noor HB</t>
  </si>
  <si>
    <t>Карандаши простые типа Koh-I-Noor HB</t>
  </si>
  <si>
    <t>Карандаши цветные, набор 12 шт.</t>
  </si>
  <si>
    <t>Кнопки силовые (гвоздики), 50 шт/упак</t>
  </si>
  <si>
    <t>Корректирующий роллер "Скутер" 4.2мм х 5м.</t>
  </si>
  <si>
    <t>Корректирующий карандаш типа Erich Krause.</t>
  </si>
  <si>
    <t>Ластик</t>
  </si>
  <si>
    <t>Ластик типа Kooh-I-Noor Elefant 300/20.</t>
  </si>
  <si>
    <t xml:space="preserve">Лоток для бумаги универсальный (вейерный) на 6 отделений. </t>
  </si>
  <si>
    <t>Папка с прижимом, А4, 100 л.</t>
  </si>
  <si>
    <t>Разделитель листов цифровые 20 разделов, полипропилен</t>
  </si>
  <si>
    <t>Тетрадь  общая на спирали А4 96л., клетка</t>
  </si>
  <si>
    <t>Тетрадь  общая на спирали А5 96л., клетка</t>
  </si>
  <si>
    <t>Текстовыделитель, набор 4 цв.Толщина линии- 2-5 мм.</t>
  </si>
  <si>
    <t>Точилка для карандашей механическая</t>
  </si>
  <si>
    <t>Бейдж пластиковый с булавкой и зажимом, 50шт./упак.</t>
  </si>
  <si>
    <t>упак.</t>
  </si>
  <si>
    <t>Кнопки цветные игольчатые  D12 мм, 50шт/упак</t>
  </si>
  <si>
    <t>Обложки для переплета  документов А4, для брошюратора, картон, текстура 100 шт/упак.</t>
  </si>
  <si>
    <t xml:space="preserve">Папка-уголок, А4, жесткий пластик, 20шт/упак  </t>
  </si>
  <si>
    <t>Пружина пластиковая, 8 мм, белая, для переплета 40 листов, 100шт/упак</t>
  </si>
  <si>
    <t>Пружина пластиковая, 10 мм, белая, для переплета 60 листов, 100шт/упак</t>
  </si>
  <si>
    <t>Пружина пластиковая, 12 мм, белая, для переплета 90 листов, 100шт/упак</t>
  </si>
  <si>
    <t xml:space="preserve">Пружина пластиковая, 14 мм, белая, для переплета 120 листов, 100шт/упак </t>
  </si>
  <si>
    <t>Пружина пластиковая, 16 мм, белая,  для переплета 140 листов, 100шт/упак</t>
  </si>
  <si>
    <t>Пружина пластиковая, 19 мм, белая, для переплета 170 листов, 100шт/упак</t>
  </si>
  <si>
    <t>Пружина пластиковая, 25 мм, белая, для переплета 240 листов, 50шт/упак</t>
  </si>
  <si>
    <t>Пружина пластиковая, 22 мм, белая, для переплета 210 листов, 50шт/упак</t>
  </si>
  <si>
    <t>Пружина пластиковая, 51 мм, белая,  для переплета 500 листов, 50шт/упак</t>
  </si>
  <si>
    <t>Клейкая лента на диспенсере прозрачная 12,7 мм х11,4 м</t>
  </si>
  <si>
    <t>Клейкая лента  прозрачная 12 ммх10 м,  12 шт/упак</t>
  </si>
  <si>
    <t>Клейкая лента матовая  12 мм х33 м</t>
  </si>
  <si>
    <t>Скобы к степлеру №23/13.(до 100 листов)</t>
  </si>
  <si>
    <t>Скобы к степлеру №23/15.(до 130 листов)</t>
  </si>
  <si>
    <t>Скобы к степлеру №23/17.(до 160 листов)</t>
  </si>
  <si>
    <t>Скобы к степлеру №23/20.(до 180 листов)</t>
  </si>
  <si>
    <t>Скобы к степлеру №23/23.(до 240 листов)</t>
  </si>
  <si>
    <t>Степлер №10 типа LEITZ  до 10 листов</t>
  </si>
  <si>
    <t>Степлер №24/6 типа LEITZ  до 30 листов</t>
  </si>
  <si>
    <t>Скрепки большие гофрированные, 50 мм., 50 шт/упак</t>
  </si>
  <si>
    <t>Скрепки,  25мм., 100 шт/упак</t>
  </si>
  <si>
    <t>Файлы вкладыши вертикальные,А3,  50 шт/упак</t>
  </si>
  <si>
    <t>Файлы вкладыши горизонтальные, А3, 50 шт/упак</t>
  </si>
  <si>
    <t>Файл-вкладыши А4, 100 шт/упак</t>
  </si>
  <si>
    <t>Файл-вкладыши А4, плотные, 45 мкм,100 шт/упак</t>
  </si>
  <si>
    <t>Бумага для заметок  с клейким краем,75х75мм, 80 л.</t>
  </si>
  <si>
    <t>Гель для увлажнения пальцев</t>
  </si>
  <si>
    <t xml:space="preserve">Дырокол на 65 листов </t>
  </si>
  <si>
    <t xml:space="preserve">Дырокол на 150 листов </t>
  </si>
  <si>
    <t xml:space="preserve">Дырокол на 40 листов </t>
  </si>
  <si>
    <t>Ежедневник недатированный A5, на 352 страницы</t>
  </si>
  <si>
    <t>Зажим для бумаги 19 мм 12шт/упак. Цвет - черный</t>
  </si>
  <si>
    <t>Зажим для бумаги 25 мм 12шт/упак. Цвет - черный</t>
  </si>
  <si>
    <t>Зажим для бумаги 32 мм 12шт/упак. Цвет - черный</t>
  </si>
  <si>
    <t>Зажим для бумаги 41 мм 12шт/упак. Цвет - черный</t>
  </si>
  <si>
    <t>Зажим для бумаги 51 мм 12шт/упак. Цвет - черный</t>
  </si>
  <si>
    <t>Калькулятор CITIZEN SDC-888T бухгалтерский</t>
  </si>
  <si>
    <t>Картотека открытая, А 5, на 1300 шт.</t>
  </si>
  <si>
    <t>Клей ПВА 60 мл. с дозатором</t>
  </si>
  <si>
    <t>Клейкие закладки, пластик, 4 цвета по 35 листов</t>
  </si>
  <si>
    <t>Клейкие закладки, бумажные, 4 цвета  по 100 листов, Предназначены для временной маркировки страниц</t>
  </si>
  <si>
    <t>Кнопки канцелярские, D12 мм, 100 шт/упак</t>
  </si>
  <si>
    <t>Набор фломастеров  (12 цветов)</t>
  </si>
  <si>
    <t>Папка на 2 кольцах, 17 мм, А4.</t>
  </si>
  <si>
    <t xml:space="preserve">Папка на 2 кольцах, 25 мм, А4.  </t>
  </si>
  <si>
    <t xml:space="preserve">Папка на 2 кольцах, 35 мм, А4. </t>
  </si>
  <si>
    <t>Папка-Планшет  ПВХ,  А4</t>
  </si>
  <si>
    <t>Папка-Планшет А5, с верхней створкой</t>
  </si>
  <si>
    <t>Папка-Планшет  А4, с верхней створкой</t>
  </si>
  <si>
    <t xml:space="preserve">Папка на резинках, А4 </t>
  </si>
  <si>
    <t>Папки-конверты с молнией, пластик, А4.</t>
  </si>
  <si>
    <t>Папки-конверты с кнопкой, пластик, А4.</t>
  </si>
  <si>
    <t>Папка на молнии А4, закрывается с 3-х сторон</t>
  </si>
  <si>
    <t>Папка-портфель пластиковый с ручкой, А4</t>
  </si>
  <si>
    <t>Салфетки чистящие для монитора,100 шт/тубе</t>
  </si>
  <si>
    <t>Скобы к степлеру  №10</t>
  </si>
  <si>
    <t>Скобы к степлеру  №24/6</t>
  </si>
  <si>
    <t>Точилка для карандашей</t>
  </si>
  <si>
    <t>Салфетки (запасные) для стирателя  губок маркерных досок.</t>
  </si>
  <si>
    <t>Антистеплер с фиксатором</t>
  </si>
  <si>
    <t>Блок-кубик для записей запасной (90х90х50 мм)</t>
  </si>
  <si>
    <t>Блок-кубик для записей запасной (90х90х90 мм)</t>
  </si>
  <si>
    <t>Блокнот для записей на спирали А6, 50л.</t>
  </si>
  <si>
    <t>Блок-кубик для записей в боксе (90х90х90 мм)</t>
  </si>
  <si>
    <t>Клейкая лента прозрачная в упаковке 19 мм х 33м</t>
  </si>
  <si>
    <t>Клейкая лента матовая в упаковке 19 мм х 33 м</t>
  </si>
  <si>
    <t>Клейкая лента на диспенсере прозрачная 19 ммх7,5м</t>
  </si>
  <si>
    <t>Маркеры для белой доски, набор 4цвета, EDDING e-360-4S</t>
  </si>
  <si>
    <t>Папка архивная, А4, крафт/коленкор, 4 завязки, корешок 5 см</t>
  </si>
  <si>
    <t>Папка архивная,А4, крафт/коленкор,4 завязки, корешок 12 см</t>
  </si>
  <si>
    <t>Папка архивная, А4, крафт/коленкор, 4 завязки, корешок 8 см</t>
  </si>
  <si>
    <r>
      <t>Папка архивная на кнопке 100</t>
    </r>
    <r>
      <rPr>
        <sz val="10"/>
        <rFont val="Arial Cyr"/>
        <family val="0"/>
      </rPr>
      <t>÷</t>
    </r>
    <r>
      <rPr>
        <sz val="10"/>
        <rFont val="Times New Roman"/>
        <family val="1"/>
      </rPr>
      <t>150 мм картон, А4.</t>
    </r>
  </si>
  <si>
    <r>
      <t>Папка архивная на кнопке 70</t>
    </r>
    <r>
      <rPr>
        <sz val="10"/>
        <rFont val="Arial Cyr"/>
        <family val="0"/>
      </rPr>
      <t>÷100</t>
    </r>
    <r>
      <rPr>
        <sz val="10"/>
        <rFont val="Times New Roman"/>
        <family val="1"/>
      </rPr>
      <t xml:space="preserve"> мм картон,  А4.</t>
    </r>
  </si>
  <si>
    <t>Папка на завязках "ДЕЛО"  (штамп для архивных дел)</t>
  </si>
  <si>
    <t>Папка-архивная с 2 завязками, А4,бумвинил, корешок 3 см</t>
  </si>
  <si>
    <t>Папка с 2 завязками, картон, А4</t>
  </si>
  <si>
    <t>Папка-файловая ,пластиковая, А4, на 20 файлов.</t>
  </si>
  <si>
    <t>Папка-файловая ,пластиковая, А4, на 30 файлов.</t>
  </si>
  <si>
    <t>Папка-файловая ,пластиковая, А4, на 40 файлов.</t>
  </si>
  <si>
    <t>Папка-файловая ,пластиковая, А4, на 60 файлов.</t>
  </si>
  <si>
    <t>Папка-файловая ,пластиковая, А4, на 80 файлов.</t>
  </si>
  <si>
    <t>Папка-файловая ,пластиковая, А4, на 100 файлов.</t>
  </si>
  <si>
    <t>Папка-файловая ,пластиковая, А4, на 10 файлов.</t>
  </si>
  <si>
    <t>Пружина пластиковая, 6 мм, белая, для переплета 20 листов, 100шт/упак</t>
  </si>
  <si>
    <t>Разделители листов 12-цветные, A4</t>
  </si>
  <si>
    <t>Разделители листов 10-цветные, A4</t>
  </si>
  <si>
    <t>Разделители листов 5-цветные, A4</t>
  </si>
  <si>
    <t>Скоросшиватель тонкий пластиковый, А4</t>
  </si>
  <si>
    <t>Скоросшиватель "Дело", картон</t>
  </si>
  <si>
    <t>Папка с арочным механизмом,корешок 50 мм, А4,типа Kорона</t>
  </si>
  <si>
    <r>
      <t>Папка с арочным механизмом,корешок 70</t>
    </r>
    <r>
      <rPr>
        <sz val="10"/>
        <rFont val="Arial Cyr"/>
        <family val="0"/>
      </rPr>
      <t>÷</t>
    </r>
    <r>
      <rPr>
        <sz val="10"/>
        <rFont val="Times New Roman"/>
        <family val="1"/>
      </rPr>
      <t>80 мм,А4,типа Kорона</t>
    </r>
  </si>
  <si>
    <t>Линейка  40 см, из полипропилена, непрозрачная</t>
  </si>
  <si>
    <t>Папка-архивная с 4 завязками, крафт/бумвинил, корешок 5 см, А4</t>
  </si>
  <si>
    <t>Папка-архивная с 4 завязками, крафт/бумвинил, корешок 8 см, А4</t>
  </si>
  <si>
    <t>Папка-архивная с 4 завязками,крафт/бумвинил, корешок 12см, А4</t>
  </si>
  <si>
    <t>Папки-скоросшиватель с пружинками, корешок 17 мм,  А4</t>
  </si>
  <si>
    <t>Салфетки чистящие,универсальные, для оргтехники,100 шт/туба</t>
  </si>
  <si>
    <t xml:space="preserve">Скотч упаковочный 50мм*100м*50 мкм.,прозрачный  </t>
  </si>
  <si>
    <r>
      <t xml:space="preserve">Скотч упаковочный 50мм*100м*50 мкм., </t>
    </r>
    <r>
      <rPr>
        <sz val="10"/>
        <color indexed="16"/>
        <rFont val="Times New Roman"/>
        <family val="1"/>
      </rPr>
      <t>коричневый</t>
    </r>
  </si>
  <si>
    <t>Спрей-очиститель для досок типа  White Board Clean 250мл.</t>
  </si>
  <si>
    <t>Форма №1 "Канцелярские товары"</t>
  </si>
  <si>
    <t>Согласования на листе "Перечень товаров" производится до получения виз на "Титульном" листе.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</si>
  <si>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</si>
  <si>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</si>
  <si>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</si>
  <si>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r>
      <t xml:space="preserve">"Титульный " </t>
    </r>
    <r>
      <rPr>
        <sz val="12"/>
        <rFont val="Arial Cyr"/>
        <family val="2"/>
      </rPr>
      <t>лист- полностью разрешен к редактированию за искл. Суммы средств</t>
    </r>
  </si>
  <si>
    <t>Лист "Перечень Товаров" :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</si>
  <si>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</si>
  <si>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</si>
  <si>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</si>
  <si>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</si>
  <si>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</si>
  <si>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</si>
  <si>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</si>
  <si>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Форма № 1 "Канцелярские товары"</t>
  </si>
  <si>
    <t>СОГЛАСОВАНО</t>
  </si>
  <si>
    <t>УТВЕРЖДАЮ</t>
  </si>
  <si>
    <t>Проректор по направлению</t>
  </si>
  <si>
    <t>Проректор</t>
  </si>
  <si>
    <t>З.М.Штымов</t>
  </si>
  <si>
    <t>КАНЦЕЛЯРСКИЕ ТОВАРЫ</t>
  </si>
  <si>
    <t>1. Общие сведения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</si>
  <si>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</si>
  <si>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</si>
  <si>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</si>
  <si>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</si>
  <si>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Источник финансирования закупок 
(бюджет, внебюджет, смета, статья расходов)</t>
  </si>
  <si>
    <t>Субсидии ФБ</t>
  </si>
  <si>
    <t>Место, условия и сроки (периоды) осуществления поставок</t>
  </si>
  <si>
    <t>Сумма средств, предусмотренных на закупку</t>
  </si>
  <si>
    <t>№ п/п</t>
  </si>
  <si>
    <t>Наименование, торговая марка, функциональные и качественные характеристики, другие требования к закупаемой продукции</t>
  </si>
  <si>
    <t>Прибл. Цена за ед.</t>
  </si>
  <si>
    <t>Приблизит. стоимость</t>
  </si>
  <si>
    <t>Алфавитная книжка А5</t>
  </si>
  <si>
    <t>шт.</t>
  </si>
  <si>
    <t>Амбарная книга в клетку 96 листов.</t>
  </si>
  <si>
    <t>Амбарная книга в линейку 96 листов.</t>
  </si>
  <si>
    <t>Блок-кубик для записей в боксе (90х90х50 мм)</t>
  </si>
  <si>
    <t xml:space="preserve">Блок-кубик для записей (цветной) в боксе ( 90х90х90 мм) </t>
  </si>
  <si>
    <t xml:space="preserve">Губка-стиратель для маркерной доски </t>
  </si>
  <si>
    <t xml:space="preserve">Карандаши простые с ластиком </t>
  </si>
  <si>
    <t xml:space="preserve">Карандаши простые </t>
  </si>
  <si>
    <t>Клеящий карандаш  25г.</t>
  </si>
  <si>
    <t>Корзина для бумаг. Объем 16 литров.</t>
  </si>
  <si>
    <t>Короб для архива "Делопроизводство" 480х325х295мм.</t>
  </si>
  <si>
    <t>Корректирующая жидкость с губкой.</t>
  </si>
  <si>
    <t>Лоток для бумаг вертикальный (4шт/упак)</t>
  </si>
  <si>
    <t>Лоток для бумаги горизонтальный</t>
  </si>
  <si>
    <t>Маркер "aerospase marker" 0,75mm.</t>
  </si>
  <si>
    <r>
      <t xml:space="preserve">Маркер для CD перманент </t>
    </r>
    <r>
      <rPr>
        <b/>
        <sz val="10"/>
        <rFont val="Times New Roman"/>
        <family val="1"/>
      </rPr>
      <t>черный</t>
    </r>
    <r>
      <rPr>
        <sz val="10"/>
        <rFont val="Times New Roman"/>
        <family val="1"/>
      </rPr>
      <t>. Толщина линии 0,75 мм.</t>
    </r>
  </si>
  <si>
    <r>
      <t xml:space="preserve">Маркер для CD перманент </t>
    </r>
    <r>
      <rPr>
        <sz val="10"/>
        <color indexed="12"/>
        <rFont val="Times New Roman"/>
        <family val="1"/>
      </rPr>
      <t>синий</t>
    </r>
    <r>
      <rPr>
        <sz val="10"/>
        <rFont val="Times New Roman"/>
        <family val="1"/>
      </rPr>
      <t>. толщина линии 0,75 мм.</t>
    </r>
  </si>
  <si>
    <t>набор.</t>
  </si>
  <si>
    <t>Настольное покрытие с прозрачным пластиком 49х65 см.</t>
  </si>
  <si>
    <t xml:space="preserve">Нож канцелярский 9 мм Корпус из цветного пластика. </t>
  </si>
  <si>
    <t>Нож канцелярский 18 мм Корпус из цветного пластика.</t>
  </si>
  <si>
    <t>Ножницы офисные  160 мм.</t>
  </si>
  <si>
    <t>Ножницы офисные 210мм</t>
  </si>
  <si>
    <t xml:space="preserve">Нумератор 6-ти разрядный с автоматической окраской. </t>
  </si>
  <si>
    <t>Папка  на 4-х кольцах, корешок 25 мм , Формат А4.</t>
  </si>
  <si>
    <t>Папка  на 4-х кольцах, корешок 35 мм. Формат А4.</t>
  </si>
  <si>
    <t xml:space="preserve">Папка  на 4-х кольцах, корешок 50 мм. Формат А4. </t>
  </si>
  <si>
    <t xml:space="preserve">Папка  на 4-х кольцах, корешок 70 мм. Формат А4. </t>
  </si>
  <si>
    <t>Папки адресные крафт-бумвинил бордо (без нанесения)</t>
  </si>
  <si>
    <t>Разделитель листов алфавитный (кириллица) , цветовой с цифрами, картон.</t>
  </si>
  <si>
    <r>
      <t xml:space="preserve">Ручка гелевая </t>
    </r>
    <r>
      <rPr>
        <sz val="10"/>
        <color indexed="11"/>
        <rFont val="Times New Roman"/>
        <family val="1"/>
      </rPr>
      <t>зеленая</t>
    </r>
    <r>
      <rPr>
        <sz val="10"/>
        <rFont val="Times New Roman"/>
        <family val="1"/>
      </rPr>
      <t xml:space="preserve"> типа PILOT BL-SG5</t>
    </r>
  </si>
  <si>
    <r>
      <t xml:space="preserve">Ручка гелевая </t>
    </r>
    <r>
      <rPr>
        <sz val="10"/>
        <color indexed="10"/>
        <rFont val="Times New Roman"/>
        <family val="1"/>
      </rPr>
      <t>красная</t>
    </r>
    <r>
      <rPr>
        <sz val="10"/>
        <rFont val="Times New Roman"/>
        <family val="1"/>
      </rPr>
      <t xml:space="preserve"> типа PILOT BL-SG5</t>
    </r>
  </si>
  <si>
    <r>
      <t xml:space="preserve">Ручка гелевая </t>
    </r>
    <r>
      <rPr>
        <sz val="10"/>
        <color indexed="12"/>
        <rFont val="Times New Roman"/>
        <family val="1"/>
      </rPr>
      <t>синяя</t>
    </r>
    <r>
      <rPr>
        <sz val="10"/>
        <rFont val="Times New Roman"/>
        <family val="1"/>
      </rPr>
      <t xml:space="preserve"> типа PILOT BL-SG5</t>
    </r>
  </si>
  <si>
    <r>
      <t xml:space="preserve">Ручка гелевая </t>
    </r>
    <r>
      <rPr>
        <b/>
        <sz val="10"/>
        <rFont val="Times New Roman"/>
        <family val="1"/>
      </rPr>
      <t>черная</t>
    </r>
    <r>
      <rPr>
        <sz val="10"/>
        <rFont val="Times New Roman"/>
        <family val="1"/>
      </rPr>
      <t xml:space="preserve"> типа PILOT BL-SG5</t>
    </r>
  </si>
  <si>
    <r>
      <t xml:space="preserve">Ручка шариковая </t>
    </r>
    <r>
      <rPr>
        <sz val="10"/>
        <color indexed="12"/>
        <rFont val="Times New Roman"/>
        <family val="1"/>
      </rPr>
      <t>синяя</t>
    </r>
    <r>
      <rPr>
        <sz val="10"/>
        <rFont val="Times New Roman"/>
        <family val="1"/>
      </rPr>
      <t xml:space="preserve"> типа PILOT BPS-GP-EF</t>
    </r>
  </si>
  <si>
    <r>
      <t xml:space="preserve">Ручка шариковая </t>
    </r>
    <r>
      <rPr>
        <b/>
        <sz val="10"/>
        <color indexed="8"/>
        <rFont val="Times New Roman"/>
        <family val="1"/>
      </rPr>
      <t>черная</t>
    </r>
    <r>
      <rPr>
        <sz val="10"/>
        <rFont val="Times New Roman"/>
        <family val="1"/>
      </rPr>
      <t xml:space="preserve"> типа PILOT BPS-GP-EF</t>
    </r>
  </si>
  <si>
    <r>
      <t xml:space="preserve">Ручка гелевая </t>
    </r>
    <r>
      <rPr>
        <sz val="10"/>
        <color indexed="10"/>
        <rFont val="Times New Roman"/>
        <family val="1"/>
      </rPr>
      <t>красная</t>
    </r>
  </si>
  <si>
    <r>
      <t xml:space="preserve">Ручка гелевая </t>
    </r>
    <r>
      <rPr>
        <sz val="10"/>
        <color indexed="12"/>
        <rFont val="Times New Roman"/>
        <family val="1"/>
      </rPr>
      <t>синяя</t>
    </r>
  </si>
  <si>
    <r>
      <t xml:space="preserve">Ручка гелевая </t>
    </r>
    <r>
      <rPr>
        <b/>
        <sz val="10"/>
        <rFont val="Times New Roman"/>
        <family val="1"/>
      </rPr>
      <t>черная</t>
    </r>
  </si>
  <si>
    <r>
      <t xml:space="preserve">Ручка шариковая </t>
    </r>
    <r>
      <rPr>
        <sz val="10"/>
        <color indexed="12"/>
        <rFont val="Times New Roman"/>
        <family val="1"/>
      </rPr>
      <t>синяя</t>
    </r>
  </si>
  <si>
    <r>
      <t xml:space="preserve">Ручка шариковая </t>
    </r>
    <r>
      <rPr>
        <b/>
        <sz val="10"/>
        <color indexed="8"/>
        <rFont val="Times New Roman"/>
        <family val="1"/>
      </rPr>
      <t>черная</t>
    </r>
    <r>
      <rPr>
        <sz val="10"/>
        <rFont val="Times New Roman"/>
        <family val="1"/>
      </rPr>
      <t xml:space="preserve"> </t>
    </r>
  </si>
  <si>
    <t>Скотч 2х-сторонний из полипропилена 38мм*25м</t>
  </si>
  <si>
    <t>Скотч 2х-сторонний из полипропилена 48мм*25м</t>
  </si>
  <si>
    <t>Степлер №10.</t>
  </si>
  <si>
    <t>Степлер №24/6.</t>
  </si>
  <si>
    <r>
      <t xml:space="preserve">Текстовыделитель </t>
    </r>
    <r>
      <rPr>
        <b/>
        <sz val="10"/>
        <color indexed="51"/>
        <rFont val="Times New Roman"/>
        <family val="1"/>
      </rPr>
      <t>желтый</t>
    </r>
    <r>
      <rPr>
        <sz val="10"/>
        <rFont val="Times New Roman"/>
        <family val="1"/>
      </rPr>
      <t>. Толщина линии- 2-5 мм.</t>
    </r>
  </si>
  <si>
    <r>
      <t xml:space="preserve">Текстовыделитель </t>
    </r>
    <r>
      <rPr>
        <b/>
        <sz val="10"/>
        <color indexed="11"/>
        <rFont val="Times New Roman"/>
        <family val="1"/>
      </rPr>
      <t>зеленый</t>
    </r>
    <r>
      <rPr>
        <sz val="10"/>
        <rFont val="Times New Roman"/>
        <family val="1"/>
      </rPr>
      <t>. Толщина линии- 2-5 мм.</t>
    </r>
  </si>
  <si>
    <r>
      <t xml:space="preserve">Текстовыделитель </t>
    </r>
    <r>
      <rPr>
        <b/>
        <sz val="10"/>
        <color indexed="10"/>
        <rFont val="Times New Roman"/>
        <family val="1"/>
      </rPr>
      <t>красный</t>
    </r>
    <r>
      <rPr>
        <sz val="10"/>
        <rFont val="Times New Roman"/>
        <family val="1"/>
      </rPr>
      <t>. Толщина линии- 2-5 мм.</t>
    </r>
  </si>
  <si>
    <r>
      <t xml:space="preserve">Текстовыделитель </t>
    </r>
    <r>
      <rPr>
        <b/>
        <sz val="10"/>
        <color indexed="40"/>
        <rFont val="Times New Roman"/>
        <family val="1"/>
      </rPr>
      <t>голубой</t>
    </r>
    <r>
      <rPr>
        <sz val="10"/>
        <rFont val="Times New Roman"/>
        <family val="1"/>
      </rPr>
      <t>. Толщина линии- 2-5 мм.</t>
    </r>
  </si>
  <si>
    <t>Шило канцелярское 0.3 см. бумаги за 1 прокол.</t>
  </si>
  <si>
    <t>Штамп самонаборный 5-и строчный 4913/DB</t>
  </si>
  <si>
    <r>
      <t xml:space="preserve">Штемпельная краска </t>
    </r>
    <r>
      <rPr>
        <sz val="10"/>
        <color indexed="12"/>
        <rFont val="Times New Roman"/>
        <family val="1"/>
      </rPr>
      <t>синяя</t>
    </r>
    <r>
      <rPr>
        <sz val="10"/>
        <rFont val="Times New Roman"/>
        <family val="1"/>
      </rPr>
      <t>. Объем 28 мл.</t>
    </r>
  </si>
  <si>
    <r>
      <t xml:space="preserve">Штемпельная краска </t>
    </r>
    <r>
      <rPr>
        <sz val="10"/>
        <color indexed="25"/>
        <rFont val="Times New Roman"/>
        <family val="1"/>
      </rPr>
      <t>фиолетовая</t>
    </r>
    <r>
      <rPr>
        <sz val="10"/>
        <rFont val="Times New Roman"/>
        <family val="1"/>
      </rPr>
      <t>.Объем 28 мл</t>
    </r>
  </si>
  <si>
    <t>Приблизительная цена по Плану:</t>
  </si>
  <si>
    <t>Руководитель ЦФУ</t>
  </si>
  <si>
    <t>Ответственный представитель ЦФУ</t>
  </si>
  <si>
    <t>Проверил:</t>
  </si>
  <si>
    <t>Ср-ва от иной приносящей доход деятельности</t>
  </si>
  <si>
    <t>Рекомендации по заполнению формы</t>
  </si>
  <si>
    <t xml:space="preserve"> </t>
  </si>
  <si>
    <t>«____»_______________________202__г.</t>
  </si>
  <si>
    <t>Обложки для переплета/брошюратора пластиковые ,  прозрачные, глянцевые, А4, 300 мкм (типа GBC, 100 шт/ упак)</t>
  </si>
  <si>
    <t>Обложки для переплета/брошюратора пластиковые ,  полупрозрачные, матовые, А4, 350 мкм (типа GBC, 100 шт/ упак)</t>
  </si>
  <si>
    <t>Обложки для переплета/брошюратора пластиковые ,  синие с тиснением, А4, 300 мкм (типа GBC, 100 шт/ упак)</t>
  </si>
  <si>
    <t>Маркер для промышленной маркировки, цвет белый,  лаковый,в алюминивом корпусе, толщина письма 2-4 мм, типа Edding E-750</t>
  </si>
  <si>
    <t>Магнитный держатель для досок  (диаметр 30 мм, 6 шт./упак)</t>
  </si>
  <si>
    <t xml:space="preserve">Мел  белый (7.8×1.4×1.4 см, 100 шт/упак)  </t>
  </si>
  <si>
    <r>
      <t xml:space="preserve">Нить прошивная для документов, белая, типа 170 ЛШ,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1000 м</t>
    </r>
  </si>
  <si>
    <t>Конверт почтовый  C4 (229x324 мм) белый, внутренняя запечатка, удаляемая лента (250 шт/упак)</t>
  </si>
  <si>
    <t>Конверт почтовый  C4 (229x324 мм) Куда-Кому белый, внутренняя запечатка,  удаляемая лента (250 шт/ упак)</t>
  </si>
  <si>
    <t>Конверт почтовый С5 (162x229 мм) белый, внутренняя запечатка,  удаляемая лента (1000 шт/ упак)</t>
  </si>
  <si>
    <t>Конверт почтовый  С5 (162x229 мм) Куда-Кому белый, внутренняя запечатка,  удаляемая лента (1000 шт/ упак)</t>
  </si>
  <si>
    <t>Конверт почтовый  E65 (110x220 мм) белый, внутренняя запечатка,  удаляемая лента (1000 шт/ упак)</t>
  </si>
  <si>
    <t>Конверт почтовый Е65 (110x220 мм) Куда-Кому белый, внутренняя запечатка,  удаляемая лента (1000 шт/ упак)</t>
  </si>
  <si>
    <t>Конверт почтовый  С6 (114x162 мм) Куда-Кому белый, внутренняя запечатка, удаляемая лента (1000 шт/ упак)</t>
  </si>
  <si>
    <t>Конверт почтовый С6 (114x162 мм) белый, внутренняя запечатка, удаляемая лента (1000 шт/ упак)</t>
  </si>
  <si>
    <t>Конверт-Пакет почтовый k B4 из крафт-бумаги стрип 250х353 мм (120 г/кв.м, 25 шт/ упак)</t>
  </si>
  <si>
    <t>Ед. измер.</t>
  </si>
  <si>
    <t>Клей силикатный типа Полипакс 110 мл.</t>
  </si>
  <si>
    <t>Клей типа Супер-Момент (3г)</t>
  </si>
  <si>
    <t>Согласовано:</t>
  </si>
  <si>
    <t>"____"_______________202__ г.</t>
  </si>
  <si>
    <t>Колич.</t>
  </si>
  <si>
    <t>При планировании деятельности подразделения необходимо  учитывать, что поставка товаров по плану закупок будет осуществлятся в 3-4 квартале.</t>
  </si>
  <si>
    <t>Начальник ПФУ_________________  Н.Б.Ильина</t>
  </si>
  <si>
    <t>План закупок на 2024 г.</t>
  </si>
  <si>
    <t xml:space="preserve">В.А.Жигалов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</si>
</sst>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р.&quot;"/>
    <numFmt numFmtId="181" formatCode="#,##0.0&quot;р.&quot;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2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b/>
      <u val="single"/>
      <sz val="11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0"/>
      <name val="Times New Roman"/>
      <family val="1"/>
    </font>
    <font>
      <sz val="10"/>
      <color indexed="25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b/>
      <sz val="10"/>
      <color indexed="10"/>
      <name val="Arial Cyr"/>
      <family val="0"/>
    </font>
    <font>
      <sz val="10"/>
      <name val="Symbol"/>
      <family val="1"/>
    </font>
    <font>
      <sz val="10"/>
      <name val="Arial Cur"/>
      <family val="0"/>
    </font>
    <font>
      <b/>
      <i/>
      <u val="single"/>
      <sz val="11"/>
      <name val="Arial Cur"/>
      <family val="0"/>
    </font>
    <font>
      <sz val="11"/>
      <name val="Arial Cur"/>
      <family val="0"/>
    </font>
    <font>
      <sz val="9"/>
      <name val="Arial Cur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0" fontId="20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21" fillId="0" borderId="0" xfId="59" applyFont="1" applyFill="1">
      <alignment/>
      <protection/>
    </xf>
    <xf numFmtId="0" fontId="1" fillId="0" borderId="0" xfId="59" applyFill="1">
      <alignment/>
      <protection/>
    </xf>
    <xf numFmtId="0" fontId="1" fillId="0" borderId="0" xfId="59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10" xfId="0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wrapText="1" shrinkToFit="1"/>
    </xf>
    <xf numFmtId="0" fontId="23" fillId="0" borderId="13" xfId="0" applyFont="1" applyBorder="1" applyAlignment="1">
      <alignment wrapText="1" shrinkToFit="1"/>
    </xf>
    <xf numFmtId="0" fontId="23" fillId="0" borderId="14" xfId="0" applyFont="1" applyBorder="1" applyAlignment="1">
      <alignment wrapText="1" shrinkToFi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25" fillId="0" borderId="0" xfId="59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59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/>
    </xf>
    <xf numFmtId="0" fontId="27" fillId="0" borderId="15" xfId="59" applyFont="1" applyBorder="1" applyAlignment="1" applyProtection="1">
      <alignment horizontal="right"/>
      <protection locked="0"/>
    </xf>
    <xf numFmtId="0" fontId="26" fillId="0" borderId="0" xfId="59" applyNumberFormat="1" applyFont="1" applyAlignment="1" applyProtection="1">
      <alignment horizontal="center"/>
      <protection locked="0"/>
    </xf>
    <xf numFmtId="0" fontId="28" fillId="0" borderId="0" xfId="59" applyNumberFormat="1" applyFont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justify" vertical="center" wrapText="1"/>
      <protection/>
    </xf>
    <xf numFmtId="0" fontId="23" fillId="0" borderId="0" xfId="0" applyFont="1" applyAlignment="1" applyProtection="1">
      <alignment/>
      <protection locked="0"/>
    </xf>
    <xf numFmtId="0" fontId="25" fillId="0" borderId="16" xfId="0" applyFont="1" applyBorder="1" applyAlignment="1" applyProtection="1">
      <alignment horizontal="left" vertical="center" wrapText="1"/>
      <protection/>
    </xf>
    <xf numFmtId="0" fontId="25" fillId="0" borderId="16" xfId="59" applyFont="1" applyBorder="1" applyAlignment="1" applyProtection="1">
      <alignment horizontal="center" vertical="center" wrapText="1"/>
      <protection/>
    </xf>
    <xf numFmtId="0" fontId="31" fillId="0" borderId="16" xfId="59" applyFont="1" applyBorder="1" applyAlignment="1" applyProtection="1">
      <alignment horizontal="center" vertical="center" wrapText="1"/>
      <protection locked="0"/>
    </xf>
    <xf numFmtId="0" fontId="23" fillId="0" borderId="0" xfId="59" applyFont="1" applyProtection="1">
      <alignment/>
      <protection/>
    </xf>
    <xf numFmtId="0" fontId="25" fillId="0" borderId="17" xfId="59" applyFont="1" applyBorder="1" applyAlignment="1" applyProtection="1">
      <alignment horizontal="center" vertical="center" wrapText="1"/>
      <protection locked="0"/>
    </xf>
    <xf numFmtId="0" fontId="31" fillId="0" borderId="17" xfId="59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0" fontId="28" fillId="0" borderId="18" xfId="0" applyFont="1" applyBorder="1" applyAlignment="1" applyProtection="1">
      <alignment horizontal="center" vertical="top" wrapText="1" shrinkToFit="1"/>
      <protection/>
    </xf>
    <xf numFmtId="0" fontId="26" fillId="0" borderId="0" xfId="0" applyFont="1" applyAlignment="1">
      <alignment wrapText="1"/>
    </xf>
    <xf numFmtId="180" fontId="24" fillId="0" borderId="0" xfId="0" applyNumberFormat="1" applyFont="1" applyAlignment="1" applyProtection="1">
      <alignment vertical="center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181" fontId="50" fillId="0" borderId="22" xfId="0" applyNumberFormat="1" applyFont="1" applyBorder="1" applyAlignment="1">
      <alignment horizontal="center" vertical="center" wrapText="1"/>
    </xf>
    <xf numFmtId="0" fontId="28" fillId="0" borderId="23" xfId="0" applyFont="1" applyBorder="1" applyAlignment="1" applyProtection="1">
      <alignment vertical="top" wrapText="1" shrinkToFit="1"/>
      <protection/>
    </xf>
    <xf numFmtId="0" fontId="28" fillId="0" borderId="19" xfId="0" applyFont="1" applyBorder="1" applyAlignment="1" applyProtection="1">
      <alignment horizontal="center" vertical="center" wrapText="1" shrinkToFit="1"/>
      <protection/>
    </xf>
    <xf numFmtId="0" fontId="28" fillId="0" borderId="23" xfId="0" applyFont="1" applyFill="1" applyBorder="1" applyAlignment="1" applyProtection="1">
      <alignment vertical="top" wrapText="1" shrinkToFit="1"/>
      <protection/>
    </xf>
    <xf numFmtId="0" fontId="28" fillId="0" borderId="19" xfId="0" applyFont="1" applyFill="1" applyBorder="1" applyAlignment="1" applyProtection="1">
      <alignment horizontal="center" vertical="center" wrapText="1" shrinkToFit="1"/>
      <protection/>
    </xf>
    <xf numFmtId="0" fontId="28" fillId="0" borderId="24" xfId="0" applyFont="1" applyBorder="1" applyAlignment="1" applyProtection="1">
      <alignment vertical="top" wrapText="1" shrinkToFit="1"/>
      <protection/>
    </xf>
    <xf numFmtId="0" fontId="28" fillId="0" borderId="25" xfId="0" applyFont="1" applyBorder="1" applyAlignment="1" applyProtection="1">
      <alignment horizontal="center" vertical="center" wrapText="1" shrinkToFit="1"/>
      <protection/>
    </xf>
    <xf numFmtId="0" fontId="28" fillId="0" borderId="19" xfId="0" applyFont="1" applyBorder="1" applyAlignment="1" applyProtection="1">
      <alignment vertical="top" wrapText="1" shrinkToFit="1"/>
      <protection/>
    </xf>
    <xf numFmtId="0" fontId="1" fillId="0" borderId="0" xfId="0" applyFont="1" applyBorder="1" applyAlignment="1">
      <alignment/>
    </xf>
    <xf numFmtId="181" fontId="0" fillId="0" borderId="0" xfId="0" applyNumberFormat="1" applyBorder="1" applyAlignment="1">
      <alignment horizontal="center"/>
    </xf>
    <xf numFmtId="0" fontId="4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24" borderId="26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left" wrapText="1"/>
    </xf>
    <xf numFmtId="0" fontId="50" fillId="24" borderId="27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left" wrapText="1"/>
      <protection locked="0"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horizontal="left" wrapText="1"/>
      <protection/>
    </xf>
    <xf numFmtId="0" fontId="50" fillId="0" borderId="26" xfId="0" applyFont="1" applyFill="1" applyBorder="1" applyAlignment="1" applyProtection="1">
      <alignment horizontal="center"/>
      <protection/>
    </xf>
    <xf numFmtId="0" fontId="52" fillId="24" borderId="27" xfId="0" applyFont="1" applyFill="1" applyBorder="1" applyAlignment="1" applyProtection="1">
      <alignment horizontal="right"/>
      <protection locked="0"/>
    </xf>
    <xf numFmtId="0" fontId="50" fillId="0" borderId="0" xfId="0" applyFont="1" applyBorder="1" applyAlignment="1">
      <alignment horizontal="center"/>
    </xf>
    <xf numFmtId="181" fontId="50" fillId="0" borderId="0" xfId="0" applyNumberFormat="1" applyFont="1" applyBorder="1" applyAlignment="1">
      <alignment/>
    </xf>
    <xf numFmtId="0" fontId="53" fillId="0" borderId="28" xfId="0" applyFont="1" applyBorder="1" applyAlignment="1">
      <alignment horizontal="center" vertical="center" wrapText="1"/>
    </xf>
    <xf numFmtId="3" fontId="0" fillId="6" borderId="29" xfId="0" applyNumberFormat="1" applyFill="1" applyBorder="1" applyAlignment="1" applyProtection="1">
      <alignment horizontal="center" vertical="center"/>
      <protection locked="0"/>
    </xf>
    <xf numFmtId="3" fontId="0" fillId="6" borderId="30" xfId="0" applyNumberFormat="1" applyFill="1" applyBorder="1" applyAlignment="1" applyProtection="1">
      <alignment horizontal="center" vertical="center"/>
      <protection locked="0"/>
    </xf>
    <xf numFmtId="3" fontId="0" fillId="6" borderId="19" xfId="0" applyNumberForma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50" fillId="0" borderId="26" xfId="0" applyFont="1" applyFill="1" applyBorder="1" applyAlignment="1" applyProtection="1">
      <alignment horizontal="center"/>
      <protection locked="0"/>
    </xf>
    <xf numFmtId="173" fontId="28" fillId="0" borderId="19" xfId="0" applyNumberFormat="1" applyFont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vertical="center" wrapText="1"/>
      <protection/>
    </xf>
    <xf numFmtId="173" fontId="28" fillId="0" borderId="25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wrapText="1"/>
    </xf>
    <xf numFmtId="0" fontId="54" fillId="25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21" fillId="4" borderId="0" xfId="59" applyFont="1" applyFill="1" applyBorder="1" applyAlignment="1">
      <alignment horizontal="left" wrapText="1"/>
      <protection/>
    </xf>
    <xf numFmtId="0" fontId="1" fillId="26" borderId="0" xfId="0" applyFont="1" applyFill="1" applyBorder="1" applyAlignment="1" applyProtection="1">
      <alignment horizontal="left" vertical="top" wrapText="1"/>
      <protection/>
    </xf>
    <xf numFmtId="49" fontId="19" fillId="26" borderId="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180" fontId="31" fillId="0" borderId="16" xfId="0" applyNumberFormat="1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left" vertical="center" wrapText="1"/>
      <protection/>
    </xf>
    <xf numFmtId="0" fontId="31" fillId="0" borderId="16" xfId="59" applyFont="1" applyBorder="1" applyAlignment="1" applyProtection="1">
      <alignment horizontal="center"/>
      <protection locked="0"/>
    </xf>
    <xf numFmtId="0" fontId="50" fillId="0" borderId="26" xfId="0" applyFont="1" applyFill="1" applyBorder="1" applyAlignment="1" applyProtection="1">
      <alignment horizontal="center"/>
      <protection locked="0"/>
    </xf>
    <xf numFmtId="0" fontId="50" fillId="0" borderId="2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76200</xdr:rowOff>
    </xdr:from>
    <xdr:to>
      <xdr:col>3</xdr:col>
      <xdr:colOff>85725</xdr:colOff>
      <xdr:row>41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8575" y="4743450"/>
          <a:ext cx="8077200" cy="4105275"/>
          <a:chOff x="48" y="10305"/>
          <a:chExt cx="11767" cy="647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10305"/>
            <a:ext cx="11561" cy="64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0000">
            <a:off x="10803" y="11756"/>
            <a:ext cx="977" cy="414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45</xdr:row>
      <xdr:rowOff>0</xdr:rowOff>
    </xdr:from>
    <xdr:to>
      <xdr:col>1</xdr:col>
      <xdr:colOff>6391275</xdr:colOff>
      <xdr:row>68</xdr:row>
      <xdr:rowOff>85725</xdr:rowOff>
    </xdr:to>
    <xdr:grpSp>
      <xdr:nvGrpSpPr>
        <xdr:cNvPr id="4" name="Group 4"/>
        <xdr:cNvGrpSpPr>
          <a:grpSpLocks/>
        </xdr:cNvGrpSpPr>
      </xdr:nvGrpSpPr>
      <xdr:grpSpPr>
        <a:xfrm>
          <a:off x="247650" y="9563100"/>
          <a:ext cx="6600825" cy="3810000"/>
          <a:chOff x="365" y="17895"/>
          <a:chExt cx="9608" cy="600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65" y="17895"/>
            <a:ext cx="9608" cy="60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0000">
            <a:off x="8311" y="19978"/>
            <a:ext cx="987" cy="414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60000">
            <a:off x="4199" y="19767"/>
            <a:ext cx="925" cy="440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4"/>
  </sheetPr>
  <dimension ref="A1:W71"/>
  <sheetViews>
    <sheetView zoomScaleSheetLayoutView="100" workbookViewId="0" topLeftCell="A19">
      <selection activeCell="B11" sqref="B11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1" t="s">
        <v>121</v>
      </c>
    </row>
    <row r="2" spans="1:4" s="73" customFormat="1" ht="35.25" customHeight="1">
      <c r="A2" s="79" t="s">
        <v>239</v>
      </c>
      <c r="B2" s="79"/>
      <c r="C2" s="79"/>
      <c r="D2" s="79"/>
    </row>
    <row r="3" spans="1:2" ht="12.75">
      <c r="A3" s="3" t="s">
        <v>122</v>
      </c>
      <c r="B3" s="4"/>
    </row>
    <row r="4" spans="1:23" s="7" customFormat="1" ht="31.5" customHeight="1">
      <c r="A4" s="83" t="s">
        <v>123</v>
      </c>
      <c r="B4" s="83"/>
      <c r="C4" s="83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4" s="8" customFormat="1" ht="39.75" customHeight="1">
      <c r="A5" s="84" t="s">
        <v>124</v>
      </c>
      <c r="B5" s="84"/>
      <c r="C5" s="84"/>
      <c r="D5" s="84"/>
    </row>
    <row r="6" spans="1:4" s="8" customFormat="1" ht="16.5" customHeight="1">
      <c r="A6" s="85" t="s">
        <v>125</v>
      </c>
      <c r="B6" s="85"/>
      <c r="C6" s="9"/>
      <c r="D6" s="9"/>
    </row>
    <row r="7" spans="1:2" ht="25.5">
      <c r="A7" s="80" t="s">
        <v>214</v>
      </c>
      <c r="B7" s="80"/>
    </row>
    <row r="9" spans="1:2" s="12" customFormat="1" ht="20.25" customHeight="1">
      <c r="A9" s="10">
        <v>1</v>
      </c>
      <c r="B9" s="11" t="s">
        <v>126</v>
      </c>
    </row>
    <row r="10" spans="1:2" ht="24" customHeight="1">
      <c r="A10" s="81">
        <v>2</v>
      </c>
      <c r="B10" s="13" t="s">
        <v>127</v>
      </c>
    </row>
    <row r="11" spans="1:2" ht="32.25" customHeight="1">
      <c r="A11" s="81"/>
      <c r="B11" s="14" t="s">
        <v>128</v>
      </c>
    </row>
    <row r="12" spans="1:2" ht="18" customHeight="1">
      <c r="A12" s="81"/>
      <c r="B12" s="15" t="s">
        <v>129</v>
      </c>
    </row>
    <row r="14" spans="1:2" ht="27.75" customHeight="1">
      <c r="A14" s="82" t="s">
        <v>130</v>
      </c>
      <c r="B14" s="82"/>
    </row>
    <row r="16" spans="1:2" ht="30" customHeight="1">
      <c r="A16" s="78" t="s">
        <v>131</v>
      </c>
      <c r="B16" s="78"/>
    </row>
    <row r="44" spans="1:2" ht="28.5" customHeight="1">
      <c r="A44" s="78" t="s">
        <v>132</v>
      </c>
      <c r="B44" s="78"/>
    </row>
    <row r="70" spans="1:2" ht="30" customHeight="1">
      <c r="A70" s="78" t="s">
        <v>133</v>
      </c>
      <c r="B70" s="78"/>
    </row>
    <row r="71" spans="1:2" ht="33.75" customHeight="1">
      <c r="A71" s="78" t="s">
        <v>134</v>
      </c>
      <c r="B71" s="78"/>
    </row>
  </sheetData>
  <sheetProtection password="C486" sheet="1" objects="1" scenarios="1" insertRows="0"/>
  <mergeCells count="11">
    <mergeCell ref="A6:B6"/>
    <mergeCell ref="A16:B16"/>
    <mergeCell ref="A44:B44"/>
    <mergeCell ref="A70:B70"/>
    <mergeCell ref="A71:B71"/>
    <mergeCell ref="A2:D2"/>
    <mergeCell ref="A7:B7"/>
    <mergeCell ref="A10:A12"/>
    <mergeCell ref="A14:B14"/>
    <mergeCell ref="A4:C4"/>
    <mergeCell ref="A5:D5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0" zoomScaleSheetLayoutView="110" zoomScalePageLayoutView="0" workbookViewId="0" topLeftCell="A7">
      <selection activeCell="C19" sqref="C19:D19"/>
    </sheetView>
  </sheetViews>
  <sheetFormatPr defaultColWidth="9.00390625" defaultRowHeight="12.75"/>
  <cols>
    <col min="1" max="1" width="4.875" style="16" customWidth="1"/>
    <col min="2" max="2" width="53.125" style="16" customWidth="1"/>
    <col min="3" max="3" width="21.875" style="16" customWidth="1"/>
    <col min="4" max="4" width="55.00390625" style="16" customWidth="1"/>
    <col min="5" max="16384" width="9.125" style="16" customWidth="1"/>
  </cols>
  <sheetData>
    <row r="1" spans="2:4" s="17" customFormat="1" ht="17.25" customHeight="1">
      <c r="B1" s="16"/>
      <c r="D1" s="18" t="s">
        <v>135</v>
      </c>
    </row>
    <row r="2" spans="2:4" s="17" customFormat="1" ht="15.75">
      <c r="B2" s="19" t="s">
        <v>136</v>
      </c>
      <c r="D2" s="20" t="s">
        <v>137</v>
      </c>
    </row>
    <row r="3" spans="2:4" s="21" customFormat="1" ht="15">
      <c r="B3" s="22" t="s">
        <v>138</v>
      </c>
      <c r="D3" s="22" t="s">
        <v>139</v>
      </c>
    </row>
    <row r="4" spans="2:4" s="23" customFormat="1" ht="24" customHeight="1">
      <c r="B4" s="24"/>
      <c r="D4" s="24" t="s">
        <v>140</v>
      </c>
    </row>
    <row r="5" spans="2:4" s="17" customFormat="1" ht="9.75" customHeight="1">
      <c r="B5" s="25"/>
      <c r="D5" s="25"/>
    </row>
    <row r="6" spans="2:4" s="17" customFormat="1" ht="12.75" customHeight="1">
      <c r="B6" s="26" t="s">
        <v>216</v>
      </c>
      <c r="D6" s="26" t="s">
        <v>216</v>
      </c>
    </row>
    <row r="8" spans="1:4" ht="24" customHeight="1">
      <c r="A8" s="86" t="s">
        <v>241</v>
      </c>
      <c r="B8" s="86"/>
      <c r="C8" s="86"/>
      <c r="D8" s="86"/>
    </row>
    <row r="9" spans="1:4" ht="30.75" customHeight="1">
      <c r="A9" s="87" t="s">
        <v>141</v>
      </c>
      <c r="B9" s="87"/>
      <c r="C9" s="87"/>
      <c r="D9" s="87"/>
    </row>
    <row r="10" spans="1:4" ht="21" customHeight="1">
      <c r="A10" s="88" t="s">
        <v>142</v>
      </c>
      <c r="B10" s="88"/>
      <c r="C10" s="88"/>
      <c r="D10" s="88"/>
    </row>
    <row r="11" spans="1:4" s="29" customFormat="1" ht="39" customHeight="1">
      <c r="A11" s="27">
        <v>1</v>
      </c>
      <c r="B11" s="28" t="s">
        <v>143</v>
      </c>
      <c r="C11" s="89"/>
      <c r="D11" s="89"/>
    </row>
    <row r="12" spans="1:4" s="29" customFormat="1" ht="22.5" customHeight="1">
      <c r="A12" s="27">
        <v>2</v>
      </c>
      <c r="B12" s="28" t="s">
        <v>144</v>
      </c>
      <c r="C12" s="89" t="s">
        <v>215</v>
      </c>
      <c r="D12" s="89"/>
    </row>
    <row r="13" spans="1:4" s="29" customFormat="1" ht="28.5" customHeight="1">
      <c r="A13" s="27">
        <v>3</v>
      </c>
      <c r="B13" s="28" t="s">
        <v>145</v>
      </c>
      <c r="C13" s="89"/>
      <c r="D13" s="89"/>
    </row>
    <row r="14" spans="1:4" s="29" customFormat="1" ht="30" customHeight="1">
      <c r="A14" s="27">
        <v>4</v>
      </c>
      <c r="B14" s="30" t="s">
        <v>146</v>
      </c>
      <c r="C14" s="89"/>
      <c r="D14" s="89"/>
    </row>
    <row r="15" spans="1:4" s="33" customFormat="1" ht="30" customHeight="1">
      <c r="A15" s="92">
        <v>5</v>
      </c>
      <c r="B15" s="93" t="s">
        <v>147</v>
      </c>
      <c r="C15" s="31" t="s">
        <v>148</v>
      </c>
      <c r="D15" s="32"/>
    </row>
    <row r="16" spans="1:4" s="33" customFormat="1" ht="33.75" customHeight="1">
      <c r="A16" s="92"/>
      <c r="B16" s="93"/>
      <c r="C16" s="40" t="s">
        <v>213</v>
      </c>
      <c r="D16" s="32"/>
    </row>
    <row r="17" spans="1:4" s="33" customFormat="1" ht="36.75" customHeight="1">
      <c r="A17" s="92"/>
      <c r="B17" s="93"/>
      <c r="C17" s="34"/>
      <c r="D17" s="35"/>
    </row>
    <row r="18" spans="1:4" s="33" customFormat="1" ht="36.75" customHeight="1">
      <c r="A18" s="92"/>
      <c r="B18" s="93"/>
      <c r="C18" s="94" t="s">
        <v>240</v>
      </c>
      <c r="D18" s="94"/>
    </row>
    <row r="19" spans="1:4" s="29" customFormat="1" ht="42" customHeight="1">
      <c r="A19" s="27">
        <v>6</v>
      </c>
      <c r="B19" s="30" t="s">
        <v>149</v>
      </c>
      <c r="C19" s="90"/>
      <c r="D19" s="90"/>
    </row>
    <row r="20" spans="1:4" s="29" customFormat="1" ht="27.75" customHeight="1">
      <c r="A20" s="27">
        <v>7</v>
      </c>
      <c r="B20" s="30" t="s">
        <v>150</v>
      </c>
      <c r="C20" s="91">
        <f>Перечень_Товаров!F197</f>
        <v>0</v>
      </c>
      <c r="D20" s="91"/>
    </row>
  </sheetData>
  <sheetProtection password="C486" sheet="1" objects="1" scenarios="1" insertRows="0" selectLockedCells="1"/>
  <mergeCells count="12">
    <mergeCell ref="B15:B18"/>
    <mergeCell ref="C18:D18"/>
    <mergeCell ref="A8:D8"/>
    <mergeCell ref="A9:D9"/>
    <mergeCell ref="A10:D10"/>
    <mergeCell ref="C11:D11"/>
    <mergeCell ref="C19:D19"/>
    <mergeCell ref="C20:D20"/>
    <mergeCell ref="C12:D12"/>
    <mergeCell ref="C13:D13"/>
    <mergeCell ref="C14:D14"/>
    <mergeCell ref="A15:A18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F203"/>
  <sheetViews>
    <sheetView tabSelected="1" view="pageBreakPreview" zoomScale="130" zoomScaleSheetLayoutView="130" zoomScalePageLayoutView="0" workbookViewId="0" topLeftCell="A1">
      <pane ySplit="1" topLeftCell="A102" activePane="bottomLeft" state="frozen"/>
      <selection pane="topLeft" activeCell="A1" sqref="A1"/>
      <selection pane="bottomLeft" activeCell="E180" sqref="E180:E188"/>
    </sheetView>
  </sheetViews>
  <sheetFormatPr defaultColWidth="9.00390625" defaultRowHeight="12.75"/>
  <cols>
    <col min="1" max="1" width="6.875" style="0" customWidth="1"/>
    <col min="2" max="2" width="53.75390625" style="36" customWidth="1"/>
    <col min="3" max="3" width="7.875" style="55" customWidth="1"/>
    <col min="4" max="4" width="9.125" style="53" customWidth="1"/>
    <col min="5" max="5" width="7.625" style="0" customWidth="1"/>
    <col min="6" max="6" width="12.125" style="0" customWidth="1"/>
  </cols>
  <sheetData>
    <row r="1" spans="1:6" ht="39" thickBot="1">
      <c r="A1" s="42" t="s">
        <v>151</v>
      </c>
      <c r="B1" s="43" t="s">
        <v>152</v>
      </c>
      <c r="C1" s="44" t="s">
        <v>233</v>
      </c>
      <c r="D1" s="44" t="s">
        <v>153</v>
      </c>
      <c r="E1" s="43" t="s">
        <v>238</v>
      </c>
      <c r="F1" s="69" t="s">
        <v>154</v>
      </c>
    </row>
    <row r="2" spans="1:6" ht="12.75">
      <c r="A2" s="37">
        <v>1</v>
      </c>
      <c r="B2" s="45" t="s">
        <v>155</v>
      </c>
      <c r="C2" s="46" t="s">
        <v>156</v>
      </c>
      <c r="D2" s="75">
        <f>464*1.2</f>
        <v>556.8</v>
      </c>
      <c r="E2" s="70"/>
      <c r="F2" s="41">
        <f aca="true" t="shared" si="0" ref="F2:F32">E2*D2</f>
        <v>0</v>
      </c>
    </row>
    <row r="3" spans="1:6" ht="12.75">
      <c r="A3" s="37">
        <v>2</v>
      </c>
      <c r="B3" s="45" t="s">
        <v>157</v>
      </c>
      <c r="C3" s="46" t="s">
        <v>156</v>
      </c>
      <c r="D3" s="75">
        <f>118*1.2</f>
        <v>141.6</v>
      </c>
      <c r="E3" s="70"/>
      <c r="F3" s="41">
        <f t="shared" si="0"/>
        <v>0</v>
      </c>
    </row>
    <row r="4" spans="1:6" ht="12.75">
      <c r="A4" s="37">
        <v>3</v>
      </c>
      <c r="B4" s="45" t="s">
        <v>158</v>
      </c>
      <c r="C4" s="46" t="s">
        <v>156</v>
      </c>
      <c r="D4" s="75">
        <f>118*1.2</f>
        <v>141.6</v>
      </c>
      <c r="E4" s="70"/>
      <c r="F4" s="41">
        <f t="shared" si="0"/>
        <v>0</v>
      </c>
    </row>
    <row r="5" spans="1:6" ht="12.75">
      <c r="A5" s="37">
        <v>4</v>
      </c>
      <c r="B5" s="45" t="s">
        <v>80</v>
      </c>
      <c r="C5" s="46" t="s">
        <v>156</v>
      </c>
      <c r="D5" s="75">
        <f>99*1.2</f>
        <v>118.8</v>
      </c>
      <c r="E5" s="70"/>
      <c r="F5" s="41">
        <f t="shared" si="0"/>
        <v>0</v>
      </c>
    </row>
    <row r="6" spans="1:6" ht="12.75">
      <c r="A6" s="37">
        <v>5</v>
      </c>
      <c r="B6" s="47" t="s">
        <v>16</v>
      </c>
      <c r="C6" s="48" t="s">
        <v>17</v>
      </c>
      <c r="D6" s="75">
        <f>508*1.2</f>
        <v>609.6</v>
      </c>
      <c r="E6" s="70"/>
      <c r="F6" s="41">
        <f t="shared" si="0"/>
        <v>0</v>
      </c>
    </row>
    <row r="7" spans="1:6" ht="12.75">
      <c r="A7" s="37">
        <v>6</v>
      </c>
      <c r="B7" s="45" t="s">
        <v>160</v>
      </c>
      <c r="C7" s="46" t="s">
        <v>156</v>
      </c>
      <c r="D7" s="75">
        <f>230*1.2</f>
        <v>276</v>
      </c>
      <c r="E7" s="70"/>
      <c r="F7" s="41">
        <f t="shared" si="0"/>
        <v>0</v>
      </c>
    </row>
    <row r="8" spans="1:6" ht="12.75">
      <c r="A8" s="37">
        <v>7</v>
      </c>
      <c r="B8" s="45" t="s">
        <v>159</v>
      </c>
      <c r="C8" s="46" t="s">
        <v>156</v>
      </c>
      <c r="D8" s="75">
        <f>149*1.2</f>
        <v>178.79999999999998</v>
      </c>
      <c r="E8" s="70"/>
      <c r="F8" s="41">
        <f t="shared" si="0"/>
        <v>0</v>
      </c>
    </row>
    <row r="9" spans="1:6" ht="12.75">
      <c r="A9" s="37">
        <v>8</v>
      </c>
      <c r="B9" s="45" t="s">
        <v>84</v>
      </c>
      <c r="C9" s="46" t="s">
        <v>156</v>
      </c>
      <c r="D9" s="75">
        <f>167*1.2</f>
        <v>200.4</v>
      </c>
      <c r="E9" s="70"/>
      <c r="F9" s="41">
        <f t="shared" si="0"/>
        <v>0</v>
      </c>
    </row>
    <row r="10" spans="1:6" ht="12.75">
      <c r="A10" s="37">
        <v>9</v>
      </c>
      <c r="B10" s="45" t="s">
        <v>81</v>
      </c>
      <c r="C10" s="46" t="s">
        <v>156</v>
      </c>
      <c r="D10" s="75">
        <f>118*1.2</f>
        <v>141.6</v>
      </c>
      <c r="E10" s="70"/>
      <c r="F10" s="41">
        <f t="shared" si="0"/>
        <v>0</v>
      </c>
    </row>
    <row r="11" spans="1:6" ht="12.75">
      <c r="A11" s="37">
        <v>10</v>
      </c>
      <c r="B11" s="45" t="s">
        <v>82</v>
      </c>
      <c r="C11" s="46" t="s">
        <v>156</v>
      </c>
      <c r="D11" s="75">
        <f>138*1.2</f>
        <v>165.6</v>
      </c>
      <c r="E11" s="70"/>
      <c r="F11" s="41">
        <f t="shared" si="0"/>
        <v>0</v>
      </c>
    </row>
    <row r="12" spans="1:6" ht="12.75">
      <c r="A12" s="37">
        <v>11</v>
      </c>
      <c r="B12" s="45" t="s">
        <v>83</v>
      </c>
      <c r="C12" s="46" t="s">
        <v>156</v>
      </c>
      <c r="D12" s="75">
        <f>128*1.2</f>
        <v>153.6</v>
      </c>
      <c r="E12" s="70"/>
      <c r="F12" s="41">
        <f t="shared" si="0"/>
        <v>0</v>
      </c>
    </row>
    <row r="13" spans="1:6" ht="12.75">
      <c r="A13" s="37">
        <v>12</v>
      </c>
      <c r="B13" s="47" t="s">
        <v>0</v>
      </c>
      <c r="C13" s="48" t="s">
        <v>17</v>
      </c>
      <c r="D13" s="75">
        <f>106*1.2</f>
        <v>127.19999999999999</v>
      </c>
      <c r="E13" s="70"/>
      <c r="F13" s="41">
        <f t="shared" si="0"/>
        <v>0</v>
      </c>
    </row>
    <row r="14" spans="1:6" ht="12.75">
      <c r="A14" s="37">
        <v>13</v>
      </c>
      <c r="B14" s="45" t="s">
        <v>46</v>
      </c>
      <c r="C14" s="46" t="s">
        <v>156</v>
      </c>
      <c r="D14" s="75">
        <f>80*1.2</f>
        <v>96</v>
      </c>
      <c r="E14" s="70"/>
      <c r="F14" s="41">
        <f t="shared" si="0"/>
        <v>0</v>
      </c>
    </row>
    <row r="15" spans="1:6" ht="12.75">
      <c r="A15" s="37">
        <v>14</v>
      </c>
      <c r="B15" s="47" t="s">
        <v>47</v>
      </c>
      <c r="C15" s="46" t="s">
        <v>156</v>
      </c>
      <c r="D15" s="75">
        <f>112*1.2</f>
        <v>134.4</v>
      </c>
      <c r="E15" s="70"/>
      <c r="F15" s="41">
        <f t="shared" si="0"/>
        <v>0</v>
      </c>
    </row>
    <row r="16" spans="1:6" ht="12.75">
      <c r="A16" s="37">
        <v>15</v>
      </c>
      <c r="B16" s="47" t="s">
        <v>161</v>
      </c>
      <c r="C16" s="46" t="s">
        <v>156</v>
      </c>
      <c r="D16" s="75">
        <f>607*1.2</f>
        <v>728.4</v>
      </c>
      <c r="E16" s="70"/>
      <c r="F16" s="41">
        <f t="shared" si="0"/>
        <v>0</v>
      </c>
    </row>
    <row r="17" spans="1:6" ht="12.75">
      <c r="A17" s="37">
        <v>16</v>
      </c>
      <c r="B17" s="45" t="s">
        <v>50</v>
      </c>
      <c r="C17" s="46" t="s">
        <v>156</v>
      </c>
      <c r="D17" s="75">
        <f>840*1.2</f>
        <v>1008</v>
      </c>
      <c r="E17" s="70"/>
      <c r="F17" s="41">
        <f t="shared" si="0"/>
        <v>0</v>
      </c>
    </row>
    <row r="18" spans="1:6" ht="12.75">
      <c r="A18" s="37">
        <v>17</v>
      </c>
      <c r="B18" s="47" t="s">
        <v>48</v>
      </c>
      <c r="C18" s="46" t="s">
        <v>156</v>
      </c>
      <c r="D18" s="75">
        <f>2077*1.2</f>
        <v>2492.4</v>
      </c>
      <c r="E18" s="70"/>
      <c r="F18" s="41">
        <f t="shared" si="0"/>
        <v>0</v>
      </c>
    </row>
    <row r="19" spans="1:6" ht="12.75">
      <c r="A19" s="37">
        <v>18</v>
      </c>
      <c r="B19" s="45" t="s">
        <v>49</v>
      </c>
      <c r="C19" s="46" t="s">
        <v>156</v>
      </c>
      <c r="D19" s="75">
        <f>5407*1.2</f>
        <v>6488.4</v>
      </c>
      <c r="E19" s="70"/>
      <c r="F19" s="41">
        <f t="shared" si="0"/>
        <v>0</v>
      </c>
    </row>
    <row r="20" spans="1:6" ht="12.75">
      <c r="A20" s="37">
        <v>19</v>
      </c>
      <c r="B20" s="45" t="s">
        <v>51</v>
      </c>
      <c r="C20" s="46" t="s">
        <v>156</v>
      </c>
      <c r="D20" s="75">
        <f>360*1.2</f>
        <v>432</v>
      </c>
      <c r="E20" s="70"/>
      <c r="F20" s="41">
        <f t="shared" si="0"/>
        <v>0</v>
      </c>
    </row>
    <row r="21" spans="1:6" ht="12.75">
      <c r="A21" s="37">
        <v>20</v>
      </c>
      <c r="B21" s="45" t="s">
        <v>52</v>
      </c>
      <c r="C21" s="46" t="s">
        <v>17</v>
      </c>
      <c r="D21" s="75">
        <f>41*1.2</f>
        <v>49.199999999999996</v>
      </c>
      <c r="E21" s="70"/>
      <c r="F21" s="41">
        <f t="shared" si="0"/>
        <v>0</v>
      </c>
    </row>
    <row r="22" spans="1:6" ht="12.75">
      <c r="A22" s="37">
        <v>21</v>
      </c>
      <c r="B22" s="45" t="s">
        <v>53</v>
      </c>
      <c r="C22" s="46" t="s">
        <v>17</v>
      </c>
      <c r="D22" s="75">
        <f>64*1.2</f>
        <v>76.8</v>
      </c>
      <c r="E22" s="70"/>
      <c r="F22" s="41">
        <f t="shared" si="0"/>
        <v>0</v>
      </c>
    </row>
    <row r="23" spans="1:6" ht="12.75">
      <c r="A23" s="37">
        <v>22</v>
      </c>
      <c r="B23" s="45" t="s">
        <v>54</v>
      </c>
      <c r="C23" s="46" t="s">
        <v>17</v>
      </c>
      <c r="D23" s="75">
        <f>98*1.2</f>
        <v>117.6</v>
      </c>
      <c r="E23" s="70"/>
      <c r="F23" s="41">
        <f t="shared" si="0"/>
        <v>0</v>
      </c>
    </row>
    <row r="24" spans="1:6" ht="12.75">
      <c r="A24" s="37">
        <v>23</v>
      </c>
      <c r="B24" s="45" t="s">
        <v>55</v>
      </c>
      <c r="C24" s="46" t="s">
        <v>17</v>
      </c>
      <c r="D24" s="75">
        <f>138*1.2</f>
        <v>165.6</v>
      </c>
      <c r="E24" s="70"/>
      <c r="F24" s="41">
        <f t="shared" si="0"/>
        <v>0</v>
      </c>
    </row>
    <row r="25" spans="1:6" ht="12.75">
      <c r="A25" s="37">
        <v>24</v>
      </c>
      <c r="B25" s="45" t="s">
        <v>56</v>
      </c>
      <c r="C25" s="46" t="s">
        <v>17</v>
      </c>
      <c r="D25" s="75">
        <f>220*1.2</f>
        <v>264</v>
      </c>
      <c r="E25" s="70"/>
      <c r="F25" s="41">
        <f t="shared" si="0"/>
        <v>0</v>
      </c>
    </row>
    <row r="26" spans="1:6" ht="12.75">
      <c r="A26" s="37">
        <v>25</v>
      </c>
      <c r="B26" s="45" t="s">
        <v>57</v>
      </c>
      <c r="C26" s="46" t="s">
        <v>156</v>
      </c>
      <c r="D26" s="75">
        <f>1067*1.2</f>
        <v>1280.3999999999999</v>
      </c>
      <c r="E26" s="70"/>
      <c r="F26" s="41">
        <f t="shared" si="0"/>
        <v>0</v>
      </c>
    </row>
    <row r="27" spans="1:6" ht="12.75">
      <c r="A27" s="37">
        <v>26</v>
      </c>
      <c r="B27" s="47" t="s">
        <v>163</v>
      </c>
      <c r="C27" s="46" t="s">
        <v>156</v>
      </c>
      <c r="D27" s="75">
        <f>13*1.2</f>
        <v>15.6</v>
      </c>
      <c r="E27" s="70"/>
      <c r="F27" s="41">
        <f t="shared" si="0"/>
        <v>0</v>
      </c>
    </row>
    <row r="28" spans="1:6" ht="12.75">
      <c r="A28" s="37">
        <v>27</v>
      </c>
      <c r="B28" s="47" t="s">
        <v>162</v>
      </c>
      <c r="C28" s="46" t="s">
        <v>156</v>
      </c>
      <c r="D28" s="75">
        <f>15*1.2</f>
        <v>18</v>
      </c>
      <c r="E28" s="70"/>
      <c r="F28" s="41">
        <f t="shared" si="0"/>
        <v>0</v>
      </c>
    </row>
    <row r="29" spans="1:6" ht="12.75">
      <c r="A29" s="37">
        <v>28</v>
      </c>
      <c r="B29" s="47" t="s">
        <v>2</v>
      </c>
      <c r="C29" s="46" t="s">
        <v>156</v>
      </c>
      <c r="D29" s="75">
        <f>47*1.2</f>
        <v>56.4</v>
      </c>
      <c r="E29" s="70"/>
      <c r="F29" s="41">
        <f t="shared" si="0"/>
        <v>0</v>
      </c>
    </row>
    <row r="30" spans="1:6" ht="12.75">
      <c r="A30" s="37">
        <v>29</v>
      </c>
      <c r="B30" s="47" t="s">
        <v>1</v>
      </c>
      <c r="C30" s="46" t="s">
        <v>156</v>
      </c>
      <c r="D30" s="75">
        <f>50*1.2</f>
        <v>60</v>
      </c>
      <c r="E30" s="70"/>
      <c r="F30" s="41">
        <f t="shared" si="0"/>
        <v>0</v>
      </c>
    </row>
    <row r="31" spans="1:6" ht="12.75">
      <c r="A31" s="37">
        <v>30</v>
      </c>
      <c r="B31" s="47" t="s">
        <v>3</v>
      </c>
      <c r="C31" s="46" t="s">
        <v>156</v>
      </c>
      <c r="D31" s="75">
        <f>146*1.2</f>
        <v>175.2</v>
      </c>
      <c r="E31" s="70"/>
      <c r="F31" s="41">
        <f t="shared" si="0"/>
        <v>0</v>
      </c>
    </row>
    <row r="32" spans="1:6" ht="12.75">
      <c r="A32" s="37">
        <v>31</v>
      </c>
      <c r="B32" s="45" t="s">
        <v>58</v>
      </c>
      <c r="C32" s="46" t="s">
        <v>156</v>
      </c>
      <c r="D32" s="75">
        <f>2411*1.2</f>
        <v>2893.2</v>
      </c>
      <c r="E32" s="70"/>
      <c r="F32" s="41">
        <f t="shared" si="0"/>
        <v>0</v>
      </c>
    </row>
    <row r="33" spans="1:6" ht="12.75">
      <c r="A33" s="37">
        <v>32</v>
      </c>
      <c r="B33" s="45" t="s">
        <v>234</v>
      </c>
      <c r="C33" s="46" t="s">
        <v>156</v>
      </c>
      <c r="D33" s="75">
        <f>25*1.2</f>
        <v>30</v>
      </c>
      <c r="E33" s="70"/>
      <c r="F33" s="41">
        <f aca="true" t="shared" si="1" ref="F33:F64">E33*D33</f>
        <v>0</v>
      </c>
    </row>
    <row r="34" spans="1:6" ht="12.75">
      <c r="A34" s="37">
        <v>33</v>
      </c>
      <c r="B34" s="45" t="s">
        <v>59</v>
      </c>
      <c r="C34" s="46" t="s">
        <v>156</v>
      </c>
      <c r="D34" s="75">
        <f>43*1.2</f>
        <v>51.6</v>
      </c>
      <c r="E34" s="70"/>
      <c r="F34" s="41">
        <f t="shared" si="1"/>
        <v>0</v>
      </c>
    </row>
    <row r="35" spans="1:6" ht="12.75">
      <c r="A35" s="37">
        <v>34</v>
      </c>
      <c r="B35" s="45" t="s">
        <v>235</v>
      </c>
      <c r="C35" s="46" t="s">
        <v>156</v>
      </c>
      <c r="D35" s="75">
        <f>80*1.2</f>
        <v>96</v>
      </c>
      <c r="E35" s="70"/>
      <c r="F35" s="41">
        <f t="shared" si="1"/>
        <v>0</v>
      </c>
    </row>
    <row r="36" spans="1:6" ht="12.75">
      <c r="A36" s="37">
        <v>35</v>
      </c>
      <c r="B36" s="45" t="s">
        <v>31</v>
      </c>
      <c r="C36" s="46" t="s">
        <v>17</v>
      </c>
      <c r="D36" s="75">
        <f>175*1.2</f>
        <v>210</v>
      </c>
      <c r="E36" s="70"/>
      <c r="F36" s="41">
        <f t="shared" si="1"/>
        <v>0</v>
      </c>
    </row>
    <row r="37" spans="1:6" ht="12.75">
      <c r="A37" s="37">
        <v>36</v>
      </c>
      <c r="B37" s="45" t="s">
        <v>32</v>
      </c>
      <c r="C37" s="46" t="s">
        <v>156</v>
      </c>
      <c r="D37" s="75">
        <f>98*1.2</f>
        <v>117.6</v>
      </c>
      <c r="E37" s="70"/>
      <c r="F37" s="41">
        <f t="shared" si="1"/>
        <v>0</v>
      </c>
    </row>
    <row r="38" spans="1:6" ht="12.75">
      <c r="A38" s="37">
        <v>37</v>
      </c>
      <c r="B38" s="45" t="s">
        <v>30</v>
      </c>
      <c r="C38" s="46" t="s">
        <v>156</v>
      </c>
      <c r="D38" s="75">
        <f>76*1.2</f>
        <v>91.2</v>
      </c>
      <c r="E38" s="70"/>
      <c r="F38" s="41">
        <f t="shared" si="1"/>
        <v>0</v>
      </c>
    </row>
    <row r="39" spans="1:6" ht="12.75">
      <c r="A39" s="37">
        <v>38</v>
      </c>
      <c r="B39" s="47" t="s">
        <v>87</v>
      </c>
      <c r="C39" s="46" t="s">
        <v>156</v>
      </c>
      <c r="D39" s="75">
        <f>130*1.2</f>
        <v>156</v>
      </c>
      <c r="E39" s="70"/>
      <c r="F39" s="41">
        <f t="shared" si="1"/>
        <v>0</v>
      </c>
    </row>
    <row r="40" spans="1:6" ht="12.75">
      <c r="A40" s="37">
        <v>39</v>
      </c>
      <c r="B40" s="45" t="s">
        <v>85</v>
      </c>
      <c r="C40" s="46" t="s">
        <v>156</v>
      </c>
      <c r="D40" s="75">
        <f>187*1.2</f>
        <v>224.4</v>
      </c>
      <c r="E40" s="70"/>
      <c r="F40" s="41">
        <f t="shared" si="1"/>
        <v>0</v>
      </c>
    </row>
    <row r="41" spans="1:6" ht="12.75">
      <c r="A41" s="37">
        <v>40</v>
      </c>
      <c r="B41" s="45" t="s">
        <v>86</v>
      </c>
      <c r="C41" s="46" t="s">
        <v>156</v>
      </c>
      <c r="D41" s="75">
        <f>187*1.2</f>
        <v>224.4</v>
      </c>
      <c r="E41" s="70"/>
      <c r="F41" s="41">
        <f t="shared" si="1"/>
        <v>0</v>
      </c>
    </row>
    <row r="42" spans="1:6" ht="25.5">
      <c r="A42" s="37">
        <v>41</v>
      </c>
      <c r="B42" s="47" t="s">
        <v>61</v>
      </c>
      <c r="C42" s="46" t="s">
        <v>156</v>
      </c>
      <c r="D42" s="75">
        <f>198*1.2</f>
        <v>237.6</v>
      </c>
      <c r="E42" s="70"/>
      <c r="F42" s="41">
        <f t="shared" si="1"/>
        <v>0</v>
      </c>
    </row>
    <row r="43" spans="1:6" ht="12.75">
      <c r="A43" s="37">
        <v>42</v>
      </c>
      <c r="B43" s="47" t="s">
        <v>60</v>
      </c>
      <c r="C43" s="46" t="s">
        <v>156</v>
      </c>
      <c r="D43" s="75">
        <f>127*1.2</f>
        <v>152.4</v>
      </c>
      <c r="E43" s="70"/>
      <c r="F43" s="41">
        <f t="shared" si="1"/>
        <v>0</v>
      </c>
    </row>
    <row r="44" spans="1:6" ht="12.75">
      <c r="A44" s="37">
        <v>43</v>
      </c>
      <c r="B44" s="47" t="s">
        <v>164</v>
      </c>
      <c r="C44" s="46" t="s">
        <v>156</v>
      </c>
      <c r="D44" s="75">
        <f>80*1.2</f>
        <v>96</v>
      </c>
      <c r="E44" s="70"/>
      <c r="F44" s="41">
        <f t="shared" si="1"/>
        <v>0</v>
      </c>
    </row>
    <row r="45" spans="1:6" ht="12.75">
      <c r="A45" s="37">
        <v>44</v>
      </c>
      <c r="B45" s="47" t="s">
        <v>62</v>
      </c>
      <c r="C45" s="46" t="s">
        <v>17</v>
      </c>
      <c r="D45" s="75">
        <f>31*1.2</f>
        <v>37.199999999999996</v>
      </c>
      <c r="E45" s="70"/>
      <c r="F45" s="41">
        <f t="shared" si="1"/>
        <v>0</v>
      </c>
    </row>
    <row r="46" spans="1:6" ht="12.75">
      <c r="A46" s="37">
        <v>45</v>
      </c>
      <c r="B46" s="47" t="s">
        <v>4</v>
      </c>
      <c r="C46" s="46" t="s">
        <v>17</v>
      </c>
      <c r="D46" s="75">
        <f>88*1.2</f>
        <v>105.6</v>
      </c>
      <c r="E46" s="70"/>
      <c r="F46" s="41">
        <f t="shared" si="1"/>
        <v>0</v>
      </c>
    </row>
    <row r="47" spans="1:6" ht="12.75">
      <c r="A47" s="37">
        <v>46</v>
      </c>
      <c r="B47" s="47" t="s">
        <v>18</v>
      </c>
      <c r="C47" s="46" t="s">
        <v>17</v>
      </c>
      <c r="D47" s="75">
        <f>89*1.2</f>
        <v>106.8</v>
      </c>
      <c r="E47" s="70"/>
      <c r="F47" s="41">
        <f t="shared" si="1"/>
        <v>0</v>
      </c>
    </row>
    <row r="48" spans="1:6" ht="25.5">
      <c r="A48" s="37">
        <v>47</v>
      </c>
      <c r="B48" s="45" t="s">
        <v>224</v>
      </c>
      <c r="C48" s="46" t="s">
        <v>17</v>
      </c>
      <c r="D48" s="75">
        <f>1693*1.2</f>
        <v>2031.6</v>
      </c>
      <c r="E48" s="70"/>
      <c r="F48" s="41">
        <f t="shared" si="1"/>
        <v>0</v>
      </c>
    </row>
    <row r="49" spans="1:6" ht="25.5">
      <c r="A49" s="37">
        <v>48</v>
      </c>
      <c r="B49" s="45" t="s">
        <v>225</v>
      </c>
      <c r="C49" s="46" t="s">
        <v>17</v>
      </c>
      <c r="D49" s="75">
        <f>1491*1.2</f>
        <v>1789.2</v>
      </c>
      <c r="E49" s="70"/>
      <c r="F49" s="41">
        <f t="shared" si="1"/>
        <v>0</v>
      </c>
    </row>
    <row r="50" spans="1:6" ht="25.5">
      <c r="A50" s="37">
        <v>49</v>
      </c>
      <c r="B50" s="45" t="s">
        <v>226</v>
      </c>
      <c r="C50" s="46" t="s">
        <v>17</v>
      </c>
      <c r="D50" s="75">
        <f>2878*1.2</f>
        <v>3453.6</v>
      </c>
      <c r="E50" s="70"/>
      <c r="F50" s="41">
        <f t="shared" si="1"/>
        <v>0</v>
      </c>
    </row>
    <row r="51" spans="1:6" ht="25.5">
      <c r="A51" s="37">
        <v>50</v>
      </c>
      <c r="B51" s="45" t="s">
        <v>227</v>
      </c>
      <c r="C51" s="46" t="s">
        <v>17</v>
      </c>
      <c r="D51" s="75">
        <f>2530*1.2</f>
        <v>3036</v>
      </c>
      <c r="E51" s="70"/>
      <c r="F51" s="41">
        <f t="shared" si="1"/>
        <v>0</v>
      </c>
    </row>
    <row r="52" spans="1:6" ht="25.5">
      <c r="A52" s="37">
        <v>51</v>
      </c>
      <c r="B52" s="45" t="s">
        <v>228</v>
      </c>
      <c r="C52" s="46" t="s">
        <v>17</v>
      </c>
      <c r="D52" s="75">
        <f>2200*1.2</f>
        <v>2640</v>
      </c>
      <c r="E52" s="70"/>
      <c r="F52" s="41">
        <f t="shared" si="1"/>
        <v>0</v>
      </c>
    </row>
    <row r="53" spans="1:6" ht="25.5">
      <c r="A53" s="37">
        <v>52</v>
      </c>
      <c r="B53" s="45" t="s">
        <v>229</v>
      </c>
      <c r="C53" s="46" t="s">
        <v>17</v>
      </c>
      <c r="D53" s="75">
        <f>1940*1.2</f>
        <v>2328</v>
      </c>
      <c r="E53" s="70"/>
      <c r="F53" s="41">
        <f t="shared" si="1"/>
        <v>0</v>
      </c>
    </row>
    <row r="54" spans="1:6" ht="25.5">
      <c r="A54" s="37">
        <v>53</v>
      </c>
      <c r="B54" s="45" t="s">
        <v>231</v>
      </c>
      <c r="C54" s="46" t="s">
        <v>17</v>
      </c>
      <c r="D54" s="75">
        <f>1519*1.2</f>
        <v>1822.8</v>
      </c>
      <c r="E54" s="70"/>
      <c r="F54" s="41">
        <f t="shared" si="1"/>
        <v>0</v>
      </c>
    </row>
    <row r="55" spans="1:6" ht="25.5">
      <c r="A55" s="37">
        <v>54</v>
      </c>
      <c r="B55" s="45" t="s">
        <v>230</v>
      </c>
      <c r="C55" s="46" t="s">
        <v>17</v>
      </c>
      <c r="D55" s="75">
        <f>1973*1.2</f>
        <v>2367.6</v>
      </c>
      <c r="E55" s="70"/>
      <c r="F55" s="41">
        <f t="shared" si="1"/>
        <v>0</v>
      </c>
    </row>
    <row r="56" spans="1:6" ht="25.5">
      <c r="A56" s="37">
        <v>55</v>
      </c>
      <c r="B56" s="45" t="s">
        <v>232</v>
      </c>
      <c r="C56" s="46" t="s">
        <v>17</v>
      </c>
      <c r="D56" s="75">
        <f>765*1.2</f>
        <v>918</v>
      </c>
      <c r="E56" s="70"/>
      <c r="F56" s="41">
        <f t="shared" si="1"/>
        <v>0</v>
      </c>
    </row>
    <row r="57" spans="1:6" ht="12.75">
      <c r="A57" s="37">
        <v>56</v>
      </c>
      <c r="B57" s="47" t="s">
        <v>165</v>
      </c>
      <c r="C57" s="46" t="s">
        <v>156</v>
      </c>
      <c r="D57" s="75">
        <f>189*1.2</f>
        <v>226.79999999999998</v>
      </c>
      <c r="E57" s="70"/>
      <c r="F57" s="41">
        <f t="shared" si="1"/>
        <v>0</v>
      </c>
    </row>
    <row r="58" spans="1:6" ht="12.75">
      <c r="A58" s="37">
        <v>57</v>
      </c>
      <c r="B58" s="45" t="s">
        <v>166</v>
      </c>
      <c r="C58" s="46" t="s">
        <v>156</v>
      </c>
      <c r="D58" s="75">
        <f>195*1.2</f>
        <v>234</v>
      </c>
      <c r="E58" s="70"/>
      <c r="F58" s="41">
        <f t="shared" si="1"/>
        <v>0</v>
      </c>
    </row>
    <row r="59" spans="1:6" ht="12.75">
      <c r="A59" s="37">
        <v>58</v>
      </c>
      <c r="B59" s="45" t="s">
        <v>167</v>
      </c>
      <c r="C59" s="46" t="s">
        <v>156</v>
      </c>
      <c r="D59" s="75">
        <f>70*1.2</f>
        <v>84</v>
      </c>
      <c r="E59" s="70"/>
      <c r="F59" s="41">
        <f t="shared" si="1"/>
        <v>0</v>
      </c>
    </row>
    <row r="60" spans="1:6" ht="12.75">
      <c r="A60" s="37">
        <v>59</v>
      </c>
      <c r="B60" s="47" t="s">
        <v>6</v>
      </c>
      <c r="C60" s="46" t="s">
        <v>156</v>
      </c>
      <c r="D60" s="75">
        <f>98*1.2</f>
        <v>117.6</v>
      </c>
      <c r="E60" s="70"/>
      <c r="F60" s="41">
        <f t="shared" si="1"/>
        <v>0</v>
      </c>
    </row>
    <row r="61" spans="1:6" ht="12.75">
      <c r="A61" s="37">
        <v>60</v>
      </c>
      <c r="B61" s="47" t="s">
        <v>5</v>
      </c>
      <c r="C61" s="46" t="s">
        <v>156</v>
      </c>
      <c r="D61" s="75">
        <f>143*1.2</f>
        <v>171.6</v>
      </c>
      <c r="E61" s="70"/>
      <c r="F61" s="41">
        <f t="shared" si="1"/>
        <v>0</v>
      </c>
    </row>
    <row r="62" spans="1:6" ht="12.75">
      <c r="A62" s="37">
        <v>61</v>
      </c>
      <c r="B62" s="47" t="s">
        <v>7</v>
      </c>
      <c r="C62" s="46" t="s">
        <v>156</v>
      </c>
      <c r="D62" s="75">
        <f>15*1.2</f>
        <v>18</v>
      </c>
      <c r="E62" s="70"/>
      <c r="F62" s="41">
        <f t="shared" si="1"/>
        <v>0</v>
      </c>
    </row>
    <row r="63" spans="1:6" ht="12.75">
      <c r="A63" s="37">
        <v>62</v>
      </c>
      <c r="B63" s="47" t="s">
        <v>8</v>
      </c>
      <c r="C63" s="46" t="s">
        <v>156</v>
      </c>
      <c r="D63" s="75">
        <f>44*1.2</f>
        <v>52.8</v>
      </c>
      <c r="E63" s="70"/>
      <c r="F63" s="41">
        <f t="shared" si="1"/>
        <v>0</v>
      </c>
    </row>
    <row r="64" spans="1:6" ht="12.75">
      <c r="A64" s="37">
        <v>63</v>
      </c>
      <c r="B64" s="47" t="s">
        <v>112</v>
      </c>
      <c r="C64" s="46" t="s">
        <v>156</v>
      </c>
      <c r="D64" s="75">
        <f>56*1.2</f>
        <v>67.2</v>
      </c>
      <c r="E64" s="70"/>
      <c r="F64" s="41">
        <f t="shared" si="1"/>
        <v>0</v>
      </c>
    </row>
    <row r="65" spans="1:6" ht="12.75">
      <c r="A65" s="37">
        <v>64</v>
      </c>
      <c r="B65" s="47" t="s">
        <v>168</v>
      </c>
      <c r="C65" s="46" t="s">
        <v>17</v>
      </c>
      <c r="D65" s="75">
        <f>574*1.2</f>
        <v>688.8</v>
      </c>
      <c r="E65" s="70"/>
      <c r="F65" s="41">
        <f aca="true" t="shared" si="2" ref="F65:F96">E65*D65</f>
        <v>0</v>
      </c>
    </row>
    <row r="66" spans="1:6" ht="12.75">
      <c r="A66" s="37">
        <v>65</v>
      </c>
      <c r="B66" s="45" t="s">
        <v>169</v>
      </c>
      <c r="C66" s="46" t="s">
        <v>156</v>
      </c>
      <c r="D66" s="75">
        <f>218*1.2</f>
        <v>261.59999999999997</v>
      </c>
      <c r="E66" s="70"/>
      <c r="F66" s="41">
        <f t="shared" si="2"/>
        <v>0</v>
      </c>
    </row>
    <row r="67" spans="1:6" ht="12.75">
      <c r="A67" s="37">
        <v>66</v>
      </c>
      <c r="B67" s="47" t="s">
        <v>9</v>
      </c>
      <c r="C67" s="46" t="s">
        <v>156</v>
      </c>
      <c r="D67" s="75">
        <f>483*1.2</f>
        <v>579.6</v>
      </c>
      <c r="E67" s="70"/>
      <c r="F67" s="41">
        <f t="shared" si="2"/>
        <v>0</v>
      </c>
    </row>
    <row r="68" spans="1:6" ht="12.75">
      <c r="A68" s="37">
        <v>67</v>
      </c>
      <c r="B68" s="47" t="s">
        <v>221</v>
      </c>
      <c r="C68" s="46" t="s">
        <v>17</v>
      </c>
      <c r="D68" s="75">
        <f>149*1.2</f>
        <v>178.79999999999998</v>
      </c>
      <c r="E68" s="70"/>
      <c r="F68" s="41">
        <f t="shared" si="2"/>
        <v>0</v>
      </c>
    </row>
    <row r="69" spans="1:6" ht="12.75">
      <c r="A69" s="37">
        <v>68</v>
      </c>
      <c r="B69" s="45" t="s">
        <v>170</v>
      </c>
      <c r="C69" s="46" t="s">
        <v>156</v>
      </c>
      <c r="D69" s="75">
        <f>183*1.2</f>
        <v>219.6</v>
      </c>
      <c r="E69" s="70"/>
      <c r="F69" s="41">
        <f t="shared" si="2"/>
        <v>0</v>
      </c>
    </row>
    <row r="70" spans="1:6" ht="12.75">
      <c r="A70" s="37">
        <v>69</v>
      </c>
      <c r="B70" s="45" t="s">
        <v>172</v>
      </c>
      <c r="C70" s="46" t="s">
        <v>156</v>
      </c>
      <c r="D70" s="75">
        <f>171*1.2</f>
        <v>205.2</v>
      </c>
      <c r="E70" s="70"/>
      <c r="F70" s="41">
        <f t="shared" si="2"/>
        <v>0</v>
      </c>
    </row>
    <row r="71" spans="1:6" ht="12.75">
      <c r="A71" s="37">
        <v>70</v>
      </c>
      <c r="B71" s="45" t="s">
        <v>171</v>
      </c>
      <c r="C71" s="46" t="s">
        <v>156</v>
      </c>
      <c r="D71" s="75">
        <f>171*1.2</f>
        <v>205.2</v>
      </c>
      <c r="E71" s="70"/>
      <c r="F71" s="41">
        <f t="shared" si="2"/>
        <v>0</v>
      </c>
    </row>
    <row r="72" spans="1:6" ht="12.75">
      <c r="A72" s="37">
        <v>71</v>
      </c>
      <c r="B72" s="45" t="s">
        <v>88</v>
      </c>
      <c r="C72" s="46" t="s">
        <v>173</v>
      </c>
      <c r="D72" s="75">
        <f>461*1.2</f>
        <v>553.1999999999999</v>
      </c>
      <c r="E72" s="70"/>
      <c r="F72" s="41">
        <f t="shared" si="2"/>
        <v>0</v>
      </c>
    </row>
    <row r="73" spans="1:6" ht="24.75" customHeight="1">
      <c r="A73" s="37">
        <v>72</v>
      </c>
      <c r="B73" s="76" t="s">
        <v>220</v>
      </c>
      <c r="C73" s="46" t="s">
        <v>156</v>
      </c>
      <c r="D73" s="75">
        <f>268*1.2</f>
        <v>321.59999999999997</v>
      </c>
      <c r="E73" s="70"/>
      <c r="F73" s="41">
        <f t="shared" si="2"/>
        <v>0</v>
      </c>
    </row>
    <row r="74" spans="1:6" ht="12.75">
      <c r="A74" s="37">
        <v>73</v>
      </c>
      <c r="B74" s="76" t="s">
        <v>222</v>
      </c>
      <c r="C74" s="46" t="s">
        <v>17</v>
      </c>
      <c r="D74" s="75">
        <f>160*1.2</f>
        <v>192</v>
      </c>
      <c r="E74" s="70"/>
      <c r="F74" s="41">
        <f t="shared" si="2"/>
        <v>0</v>
      </c>
    </row>
    <row r="75" spans="1:6" ht="12.75">
      <c r="A75" s="37">
        <v>74</v>
      </c>
      <c r="B75" s="45" t="s">
        <v>63</v>
      </c>
      <c r="C75" s="46" t="s">
        <v>156</v>
      </c>
      <c r="D75" s="75">
        <f>195*1.2</f>
        <v>234</v>
      </c>
      <c r="E75" s="70"/>
      <c r="F75" s="41">
        <f t="shared" si="2"/>
        <v>0</v>
      </c>
    </row>
    <row r="76" spans="1:6" ht="12.75">
      <c r="A76" s="37">
        <v>75</v>
      </c>
      <c r="B76" s="45" t="s">
        <v>174</v>
      </c>
      <c r="C76" s="46" t="s">
        <v>156</v>
      </c>
      <c r="D76" s="75">
        <f>2001*1.2</f>
        <v>2401.2</v>
      </c>
      <c r="E76" s="70"/>
      <c r="F76" s="41">
        <f t="shared" si="2"/>
        <v>0</v>
      </c>
    </row>
    <row r="77" spans="1:6" ht="12.75">
      <c r="A77" s="37">
        <v>76</v>
      </c>
      <c r="B77" s="45" t="s">
        <v>223</v>
      </c>
      <c r="C77" s="46" t="s">
        <v>156</v>
      </c>
      <c r="D77" s="75">
        <f>188*1.2</f>
        <v>225.6</v>
      </c>
      <c r="E77" s="70"/>
      <c r="F77" s="41">
        <f t="shared" si="2"/>
        <v>0</v>
      </c>
    </row>
    <row r="78" spans="1:6" ht="12.75">
      <c r="A78" s="37">
        <v>77</v>
      </c>
      <c r="B78" s="45" t="s">
        <v>175</v>
      </c>
      <c r="C78" s="46" t="s">
        <v>156</v>
      </c>
      <c r="D78" s="75">
        <f>43*1.2</f>
        <v>51.6</v>
      </c>
      <c r="E78" s="70"/>
      <c r="F78" s="41">
        <f t="shared" si="2"/>
        <v>0</v>
      </c>
    </row>
    <row r="79" spans="1:6" ht="12.75">
      <c r="A79" s="37">
        <v>78</v>
      </c>
      <c r="B79" s="45" t="s">
        <v>176</v>
      </c>
      <c r="C79" s="46" t="s">
        <v>156</v>
      </c>
      <c r="D79" s="75">
        <f>56*1.2</f>
        <v>67.2</v>
      </c>
      <c r="E79" s="70"/>
      <c r="F79" s="41">
        <f t="shared" si="2"/>
        <v>0</v>
      </c>
    </row>
    <row r="80" spans="1:6" ht="12.75">
      <c r="A80" s="37">
        <v>79</v>
      </c>
      <c r="B80" s="47" t="s">
        <v>177</v>
      </c>
      <c r="C80" s="48" t="s">
        <v>156</v>
      </c>
      <c r="D80" s="75">
        <f>307*1.2</f>
        <v>368.4</v>
      </c>
      <c r="E80" s="70"/>
      <c r="F80" s="41">
        <f t="shared" si="2"/>
        <v>0</v>
      </c>
    </row>
    <row r="81" spans="1:6" ht="12.75">
      <c r="A81" s="37">
        <v>80</v>
      </c>
      <c r="B81" s="47" t="s">
        <v>178</v>
      </c>
      <c r="C81" s="48" t="s">
        <v>156</v>
      </c>
      <c r="D81" s="75">
        <f>400*1.2</f>
        <v>480</v>
      </c>
      <c r="E81" s="70"/>
      <c r="F81" s="41">
        <f t="shared" si="2"/>
        <v>0</v>
      </c>
    </row>
    <row r="82" spans="1:6" ht="12.75">
      <c r="A82" s="37">
        <v>81</v>
      </c>
      <c r="B82" s="45" t="s">
        <v>179</v>
      </c>
      <c r="C82" s="46" t="s">
        <v>156</v>
      </c>
      <c r="D82" s="75">
        <f>437*1.2</f>
        <v>524.4</v>
      </c>
      <c r="E82" s="70"/>
      <c r="F82" s="41">
        <f t="shared" si="2"/>
        <v>0</v>
      </c>
    </row>
    <row r="83" spans="1:6" ht="25.5">
      <c r="A83" s="37">
        <v>82</v>
      </c>
      <c r="B83" s="45" t="s">
        <v>19</v>
      </c>
      <c r="C83" s="46" t="s">
        <v>17</v>
      </c>
      <c r="D83" s="75">
        <f>1125*1.2</f>
        <v>1350</v>
      </c>
      <c r="E83" s="70"/>
      <c r="F83" s="41">
        <f t="shared" si="2"/>
        <v>0</v>
      </c>
    </row>
    <row r="84" spans="1:6" ht="25.5">
      <c r="A84" s="37">
        <v>83</v>
      </c>
      <c r="B84" s="76" t="s">
        <v>217</v>
      </c>
      <c r="C84" s="46" t="s">
        <v>17</v>
      </c>
      <c r="D84" s="75">
        <f>2566*1.2</f>
        <v>3079.2</v>
      </c>
      <c r="E84" s="70"/>
      <c r="F84" s="41">
        <f t="shared" si="2"/>
        <v>0</v>
      </c>
    </row>
    <row r="85" spans="1:6" ht="38.25">
      <c r="A85" s="37">
        <v>84</v>
      </c>
      <c r="B85" s="76" t="s">
        <v>218</v>
      </c>
      <c r="C85" s="46" t="s">
        <v>17</v>
      </c>
      <c r="D85" s="75">
        <f>4891*1.2</f>
        <v>5869.2</v>
      </c>
      <c r="E85" s="70"/>
      <c r="F85" s="41">
        <f t="shared" si="2"/>
        <v>0</v>
      </c>
    </row>
    <row r="86" spans="1:6" ht="25.5">
      <c r="A86" s="37">
        <v>85</v>
      </c>
      <c r="B86" s="76" t="s">
        <v>219</v>
      </c>
      <c r="C86" s="46" t="s">
        <v>17</v>
      </c>
      <c r="D86" s="75">
        <f>3567*1.2</f>
        <v>4280.4</v>
      </c>
      <c r="E86" s="70"/>
      <c r="F86" s="41">
        <f t="shared" si="2"/>
        <v>0</v>
      </c>
    </row>
    <row r="87" spans="1:6" ht="12.75">
      <c r="A87" s="37">
        <v>86</v>
      </c>
      <c r="B87" s="45" t="s">
        <v>180</v>
      </c>
      <c r="C87" s="46" t="s">
        <v>156</v>
      </c>
      <c r="D87" s="75">
        <f>194*1.2</f>
        <v>232.79999999999998</v>
      </c>
      <c r="E87" s="70"/>
      <c r="F87" s="41">
        <f t="shared" si="2"/>
        <v>0</v>
      </c>
    </row>
    <row r="88" spans="1:6" ht="12.75">
      <c r="A88" s="37">
        <v>87</v>
      </c>
      <c r="B88" s="45" t="s">
        <v>181</v>
      </c>
      <c r="C88" s="46" t="s">
        <v>156</v>
      </c>
      <c r="D88" s="75">
        <f>199*1.2</f>
        <v>238.79999999999998</v>
      </c>
      <c r="E88" s="70"/>
      <c r="F88" s="41">
        <f t="shared" si="2"/>
        <v>0</v>
      </c>
    </row>
    <row r="89" spans="1:6" ht="12.75">
      <c r="A89" s="37">
        <v>88</v>
      </c>
      <c r="B89" s="45" t="s">
        <v>182</v>
      </c>
      <c r="C89" s="46" t="s">
        <v>156</v>
      </c>
      <c r="D89" s="75">
        <f>263*1.2</f>
        <v>315.59999999999997</v>
      </c>
      <c r="E89" s="70"/>
      <c r="F89" s="41">
        <f t="shared" si="2"/>
        <v>0</v>
      </c>
    </row>
    <row r="90" spans="1:6" ht="12.75">
      <c r="A90" s="37">
        <v>89</v>
      </c>
      <c r="B90" s="45" t="s">
        <v>183</v>
      </c>
      <c r="C90" s="46" t="s">
        <v>156</v>
      </c>
      <c r="D90" s="75">
        <f>305*1.2</f>
        <v>366</v>
      </c>
      <c r="E90" s="70"/>
      <c r="F90" s="41">
        <f t="shared" si="2"/>
        <v>0</v>
      </c>
    </row>
    <row r="91" spans="1:6" ht="12.75">
      <c r="A91" s="37">
        <v>90</v>
      </c>
      <c r="B91" s="47" t="s">
        <v>93</v>
      </c>
      <c r="C91" s="46" t="s">
        <v>156</v>
      </c>
      <c r="D91" s="75">
        <f>235*1.2</f>
        <v>282</v>
      </c>
      <c r="E91" s="70"/>
      <c r="F91" s="41">
        <f t="shared" si="2"/>
        <v>0</v>
      </c>
    </row>
    <row r="92" spans="1:6" ht="12.75">
      <c r="A92" s="37">
        <v>91</v>
      </c>
      <c r="B92" s="47" t="s">
        <v>92</v>
      </c>
      <c r="C92" s="46" t="s">
        <v>156</v>
      </c>
      <c r="D92" s="75">
        <f>342*1.2</f>
        <v>410.4</v>
      </c>
      <c r="E92" s="70"/>
      <c r="F92" s="41">
        <f t="shared" si="2"/>
        <v>0</v>
      </c>
    </row>
    <row r="93" spans="1:6" ht="12.75">
      <c r="A93" s="37">
        <v>92</v>
      </c>
      <c r="B93" s="45" t="s">
        <v>89</v>
      </c>
      <c r="C93" s="46" t="s">
        <v>156</v>
      </c>
      <c r="D93" s="75">
        <f>197*1.2</f>
        <v>236.39999999999998</v>
      </c>
      <c r="E93" s="70"/>
      <c r="F93" s="41">
        <f t="shared" si="2"/>
        <v>0</v>
      </c>
    </row>
    <row r="94" spans="1:6" ht="12.75">
      <c r="A94" s="37">
        <v>93</v>
      </c>
      <c r="B94" s="45" t="s">
        <v>91</v>
      </c>
      <c r="C94" s="46" t="s">
        <v>156</v>
      </c>
      <c r="D94" s="75">
        <f>215*1.2</f>
        <v>258</v>
      </c>
      <c r="E94" s="70"/>
      <c r="F94" s="41">
        <f t="shared" si="2"/>
        <v>0</v>
      </c>
    </row>
    <row r="95" spans="1:6" ht="12.75">
      <c r="A95" s="37">
        <v>94</v>
      </c>
      <c r="B95" s="47" t="s">
        <v>90</v>
      </c>
      <c r="C95" s="46" t="s">
        <v>156</v>
      </c>
      <c r="D95" s="75">
        <f>242*1.2</f>
        <v>290.4</v>
      </c>
      <c r="E95" s="70"/>
      <c r="F95" s="41">
        <f t="shared" si="2"/>
        <v>0</v>
      </c>
    </row>
    <row r="96" spans="1:6" ht="12.75">
      <c r="A96" s="37">
        <v>95</v>
      </c>
      <c r="B96" s="45" t="s">
        <v>64</v>
      </c>
      <c r="C96" s="46" t="s">
        <v>156</v>
      </c>
      <c r="D96" s="75">
        <f>84*1.2</f>
        <v>100.8</v>
      </c>
      <c r="E96" s="70"/>
      <c r="F96" s="41">
        <f t="shared" si="2"/>
        <v>0</v>
      </c>
    </row>
    <row r="97" spans="1:6" ht="12.75">
      <c r="A97" s="37">
        <v>96</v>
      </c>
      <c r="B97" s="45" t="s">
        <v>65</v>
      </c>
      <c r="C97" s="46" t="s">
        <v>156</v>
      </c>
      <c r="D97" s="75">
        <f>108*1.2</f>
        <v>129.6</v>
      </c>
      <c r="E97" s="70"/>
      <c r="F97" s="41">
        <f aca="true" t="shared" si="3" ref="F97:F128">E97*D97</f>
        <v>0</v>
      </c>
    </row>
    <row r="98" spans="1:6" ht="12.75">
      <c r="A98" s="37">
        <v>97</v>
      </c>
      <c r="B98" s="47" t="s">
        <v>66</v>
      </c>
      <c r="C98" s="46" t="s">
        <v>156</v>
      </c>
      <c r="D98" s="75">
        <f>118*1.2</f>
        <v>141.6</v>
      </c>
      <c r="E98" s="70"/>
      <c r="F98" s="41">
        <f t="shared" si="3"/>
        <v>0</v>
      </c>
    </row>
    <row r="99" spans="1:6" ht="12.75">
      <c r="A99" s="37">
        <v>98</v>
      </c>
      <c r="B99" s="47" t="s">
        <v>94</v>
      </c>
      <c r="C99" s="46" t="s">
        <v>156</v>
      </c>
      <c r="D99" s="75">
        <f>177*1.2</f>
        <v>212.4</v>
      </c>
      <c r="E99" s="70"/>
      <c r="F99" s="41">
        <f t="shared" si="3"/>
        <v>0</v>
      </c>
    </row>
    <row r="100" spans="1:6" ht="12.75">
      <c r="A100" s="37">
        <v>99</v>
      </c>
      <c r="B100" s="45" t="s">
        <v>73</v>
      </c>
      <c r="C100" s="46" t="s">
        <v>156</v>
      </c>
      <c r="D100" s="75">
        <f>198*1.2</f>
        <v>237.6</v>
      </c>
      <c r="E100" s="70"/>
      <c r="F100" s="41">
        <f t="shared" si="3"/>
        <v>0</v>
      </c>
    </row>
    <row r="101" spans="1:6" ht="12.75">
      <c r="A101" s="37">
        <v>100</v>
      </c>
      <c r="B101" s="45" t="s">
        <v>70</v>
      </c>
      <c r="C101" s="46" t="s">
        <v>156</v>
      </c>
      <c r="D101" s="75">
        <f>65*1.2</f>
        <v>78</v>
      </c>
      <c r="E101" s="70"/>
      <c r="F101" s="41">
        <f t="shared" si="3"/>
        <v>0</v>
      </c>
    </row>
    <row r="102" spans="1:6" ht="12.75">
      <c r="A102" s="37">
        <v>101</v>
      </c>
      <c r="B102" s="47" t="s">
        <v>110</v>
      </c>
      <c r="C102" s="46" t="s">
        <v>156</v>
      </c>
      <c r="D102" s="75">
        <f>232*1.2</f>
        <v>278.4</v>
      </c>
      <c r="E102" s="70"/>
      <c r="F102" s="41">
        <f t="shared" si="3"/>
        <v>0</v>
      </c>
    </row>
    <row r="103" spans="1:6" ht="14.25" customHeight="1">
      <c r="A103" s="37">
        <v>102</v>
      </c>
      <c r="B103" s="47" t="s">
        <v>111</v>
      </c>
      <c r="C103" s="46" t="s">
        <v>156</v>
      </c>
      <c r="D103" s="75">
        <f>244*1.2</f>
        <v>292.8</v>
      </c>
      <c r="E103" s="70"/>
      <c r="F103" s="41">
        <f t="shared" si="3"/>
        <v>0</v>
      </c>
    </row>
    <row r="104" spans="1:6" ht="12.75">
      <c r="A104" s="37">
        <v>103</v>
      </c>
      <c r="B104" s="47" t="s">
        <v>10</v>
      </c>
      <c r="C104" s="46" t="s">
        <v>156</v>
      </c>
      <c r="D104" s="75">
        <f>149*1.2</f>
        <v>178.79999999999998</v>
      </c>
      <c r="E104" s="70"/>
      <c r="F104" s="41">
        <f t="shared" si="3"/>
        <v>0</v>
      </c>
    </row>
    <row r="105" spans="1:6" ht="12.75">
      <c r="A105" s="37">
        <v>104</v>
      </c>
      <c r="B105" s="45" t="s">
        <v>96</v>
      </c>
      <c r="C105" s="46" t="s">
        <v>156</v>
      </c>
      <c r="D105" s="75">
        <f>30*1.2</f>
        <v>36</v>
      </c>
      <c r="E105" s="70"/>
      <c r="F105" s="41">
        <f t="shared" si="3"/>
        <v>0</v>
      </c>
    </row>
    <row r="106" spans="1:6" ht="12.75">
      <c r="A106" s="37">
        <v>105</v>
      </c>
      <c r="B106" s="45" t="s">
        <v>95</v>
      </c>
      <c r="C106" s="46" t="s">
        <v>156</v>
      </c>
      <c r="D106" s="75">
        <f>122*1.2</f>
        <v>146.4</v>
      </c>
      <c r="E106" s="70"/>
      <c r="F106" s="41">
        <f t="shared" si="3"/>
        <v>0</v>
      </c>
    </row>
    <row r="107" spans="1:6" ht="15.75" customHeight="1">
      <c r="A107" s="37">
        <v>106</v>
      </c>
      <c r="B107" s="45" t="s">
        <v>113</v>
      </c>
      <c r="C107" s="46" t="s">
        <v>156</v>
      </c>
      <c r="D107" s="75">
        <f>167*1.2</f>
        <v>200.4</v>
      </c>
      <c r="E107" s="70"/>
      <c r="F107" s="41">
        <f t="shared" si="3"/>
        <v>0</v>
      </c>
    </row>
    <row r="108" spans="1:6" ht="16.5" customHeight="1">
      <c r="A108" s="37">
        <v>107</v>
      </c>
      <c r="B108" s="45" t="s">
        <v>114</v>
      </c>
      <c r="C108" s="46" t="s">
        <v>156</v>
      </c>
      <c r="D108" s="75">
        <f>175*1.2</f>
        <v>210</v>
      </c>
      <c r="E108" s="70"/>
      <c r="F108" s="41">
        <f t="shared" si="3"/>
        <v>0</v>
      </c>
    </row>
    <row r="109" spans="1:6" ht="16.5" customHeight="1">
      <c r="A109" s="37">
        <v>108</v>
      </c>
      <c r="B109" s="45" t="s">
        <v>115</v>
      </c>
      <c r="C109" s="46" t="s">
        <v>156</v>
      </c>
      <c r="D109" s="75">
        <f>184*1.2</f>
        <v>220.79999999999998</v>
      </c>
      <c r="E109" s="70"/>
      <c r="F109" s="41">
        <f t="shared" si="3"/>
        <v>0</v>
      </c>
    </row>
    <row r="110" spans="1:6" ht="12.75">
      <c r="A110" s="37">
        <v>109</v>
      </c>
      <c r="B110" s="45" t="s">
        <v>69</v>
      </c>
      <c r="C110" s="46" t="s">
        <v>156</v>
      </c>
      <c r="D110" s="75">
        <f>129*1.2</f>
        <v>154.79999999999998</v>
      </c>
      <c r="E110" s="70"/>
      <c r="F110" s="41">
        <f t="shared" si="3"/>
        <v>0</v>
      </c>
    </row>
    <row r="111" spans="1:6" ht="12.75">
      <c r="A111" s="37">
        <v>110</v>
      </c>
      <c r="B111" s="45" t="s">
        <v>67</v>
      </c>
      <c r="C111" s="46" t="s">
        <v>156</v>
      </c>
      <c r="D111" s="75">
        <f>113*1.2</f>
        <v>135.6</v>
      </c>
      <c r="E111" s="70"/>
      <c r="F111" s="41">
        <f t="shared" si="3"/>
        <v>0</v>
      </c>
    </row>
    <row r="112" spans="1:6" ht="12.75">
      <c r="A112" s="37">
        <v>111</v>
      </c>
      <c r="B112" s="45" t="s">
        <v>68</v>
      </c>
      <c r="C112" s="46" t="s">
        <v>156</v>
      </c>
      <c r="D112" s="75">
        <f>120*1.2</f>
        <v>144</v>
      </c>
      <c r="E112" s="70"/>
      <c r="F112" s="41">
        <f t="shared" si="3"/>
        <v>0</v>
      </c>
    </row>
    <row r="113" spans="1:6" ht="12.75">
      <c r="A113" s="37">
        <v>112</v>
      </c>
      <c r="B113" s="45" t="s">
        <v>74</v>
      </c>
      <c r="C113" s="46" t="s">
        <v>156</v>
      </c>
      <c r="D113" s="75">
        <f>587*1.2</f>
        <v>704.4</v>
      </c>
      <c r="E113" s="70"/>
      <c r="F113" s="41">
        <f t="shared" si="3"/>
        <v>0</v>
      </c>
    </row>
    <row r="114" spans="1:6" ht="12.75">
      <c r="A114" s="37">
        <v>113</v>
      </c>
      <c r="B114" s="45" t="s">
        <v>20</v>
      </c>
      <c r="C114" s="46" t="s">
        <v>17</v>
      </c>
      <c r="D114" s="75">
        <f>273*1.2</f>
        <v>327.59999999999997</v>
      </c>
      <c r="E114" s="70"/>
      <c r="F114" s="41">
        <f t="shared" si="3"/>
        <v>0</v>
      </c>
    </row>
    <row r="115" spans="1:6" ht="12.75">
      <c r="A115" s="37">
        <v>114</v>
      </c>
      <c r="B115" s="47" t="s">
        <v>103</v>
      </c>
      <c r="C115" s="46" t="s">
        <v>156</v>
      </c>
      <c r="D115" s="75">
        <f>65*1.2</f>
        <v>78</v>
      </c>
      <c r="E115" s="70"/>
      <c r="F115" s="41">
        <f t="shared" si="3"/>
        <v>0</v>
      </c>
    </row>
    <row r="116" spans="1:6" ht="12.75">
      <c r="A116" s="37">
        <v>115</v>
      </c>
      <c r="B116" s="45" t="s">
        <v>97</v>
      </c>
      <c r="C116" s="46" t="s">
        <v>156</v>
      </c>
      <c r="D116" s="75">
        <f>79*1.2</f>
        <v>94.8</v>
      </c>
      <c r="E116" s="70"/>
      <c r="F116" s="41">
        <f t="shared" si="3"/>
        <v>0</v>
      </c>
    </row>
    <row r="117" spans="1:6" ht="12.75">
      <c r="A117" s="37">
        <v>116</v>
      </c>
      <c r="B117" s="45" t="s">
        <v>98</v>
      </c>
      <c r="C117" s="46" t="s">
        <v>156</v>
      </c>
      <c r="D117" s="75">
        <f>107*1.2</f>
        <v>128.4</v>
      </c>
      <c r="E117" s="70"/>
      <c r="F117" s="41">
        <f t="shared" si="3"/>
        <v>0</v>
      </c>
    </row>
    <row r="118" spans="1:6" ht="12.75">
      <c r="A118" s="37">
        <v>117</v>
      </c>
      <c r="B118" s="45" t="s">
        <v>99</v>
      </c>
      <c r="C118" s="46" t="s">
        <v>156</v>
      </c>
      <c r="D118" s="75">
        <f>110*1.2</f>
        <v>132</v>
      </c>
      <c r="E118" s="70"/>
      <c r="F118" s="41">
        <f t="shared" si="3"/>
        <v>0</v>
      </c>
    </row>
    <row r="119" spans="1:6" ht="12.75">
      <c r="A119" s="37">
        <v>118</v>
      </c>
      <c r="B119" s="45" t="s">
        <v>100</v>
      </c>
      <c r="C119" s="46" t="s">
        <v>156</v>
      </c>
      <c r="D119" s="75">
        <f>140*1.2</f>
        <v>168</v>
      </c>
      <c r="E119" s="70"/>
      <c r="F119" s="41">
        <f t="shared" si="3"/>
        <v>0</v>
      </c>
    </row>
    <row r="120" spans="1:6" ht="12.75">
      <c r="A120" s="37">
        <v>119</v>
      </c>
      <c r="B120" s="45" t="s">
        <v>101</v>
      </c>
      <c r="C120" s="46" t="s">
        <v>156</v>
      </c>
      <c r="D120" s="75">
        <f>195*1.2</f>
        <v>234</v>
      </c>
      <c r="E120" s="70"/>
      <c r="F120" s="41">
        <f t="shared" si="3"/>
        <v>0</v>
      </c>
    </row>
    <row r="121" spans="1:6" ht="12.75">
      <c r="A121" s="37">
        <v>120</v>
      </c>
      <c r="B121" s="45" t="s">
        <v>102</v>
      </c>
      <c r="C121" s="46" t="s">
        <v>156</v>
      </c>
      <c r="D121" s="75">
        <f>233*1.2</f>
        <v>279.59999999999997</v>
      </c>
      <c r="E121" s="70"/>
      <c r="F121" s="41">
        <f t="shared" si="3"/>
        <v>0</v>
      </c>
    </row>
    <row r="122" spans="1:6" ht="12.75">
      <c r="A122" s="37">
        <v>121</v>
      </c>
      <c r="B122" s="45" t="s">
        <v>184</v>
      </c>
      <c r="C122" s="46" t="s">
        <v>156</v>
      </c>
      <c r="D122" s="75">
        <f>204*1.2</f>
        <v>244.79999999999998</v>
      </c>
      <c r="E122" s="70"/>
      <c r="F122" s="41">
        <f t="shared" si="3"/>
        <v>0</v>
      </c>
    </row>
    <row r="123" spans="1:6" ht="12.75">
      <c r="A123" s="37">
        <v>122</v>
      </c>
      <c r="B123" s="47" t="s">
        <v>72</v>
      </c>
      <c r="C123" s="46" t="s">
        <v>156</v>
      </c>
      <c r="D123" s="75">
        <f>44*1.2</f>
        <v>52.8</v>
      </c>
      <c r="E123" s="70"/>
      <c r="F123" s="41">
        <f t="shared" si="3"/>
        <v>0</v>
      </c>
    </row>
    <row r="124" spans="1:6" ht="12.75">
      <c r="A124" s="37">
        <v>123</v>
      </c>
      <c r="B124" s="45" t="s">
        <v>71</v>
      </c>
      <c r="C124" s="46" t="s">
        <v>156</v>
      </c>
      <c r="D124" s="75">
        <f>36*1.2</f>
        <v>43.199999999999996</v>
      </c>
      <c r="E124" s="70"/>
      <c r="F124" s="41">
        <f t="shared" si="3"/>
        <v>0</v>
      </c>
    </row>
    <row r="125" spans="1:6" ht="12.75">
      <c r="A125" s="37">
        <v>124</v>
      </c>
      <c r="B125" s="45" t="s">
        <v>116</v>
      </c>
      <c r="C125" s="46" t="s">
        <v>156</v>
      </c>
      <c r="D125" s="75">
        <f>65*1.2</f>
        <v>78</v>
      </c>
      <c r="E125" s="70"/>
      <c r="F125" s="41">
        <f t="shared" si="3"/>
        <v>0</v>
      </c>
    </row>
    <row r="126" spans="1:6" ht="25.5">
      <c r="A126" s="37">
        <v>125</v>
      </c>
      <c r="B126" s="45" t="s">
        <v>104</v>
      </c>
      <c r="C126" s="46" t="s">
        <v>17</v>
      </c>
      <c r="D126" s="75">
        <f>228*1.2</f>
        <v>273.59999999999997</v>
      </c>
      <c r="E126" s="70"/>
      <c r="F126" s="41">
        <f t="shared" si="3"/>
        <v>0</v>
      </c>
    </row>
    <row r="127" spans="1:6" ht="25.5">
      <c r="A127" s="37">
        <v>126</v>
      </c>
      <c r="B127" s="45" t="s">
        <v>21</v>
      </c>
      <c r="C127" s="46" t="s">
        <v>17</v>
      </c>
      <c r="D127" s="75">
        <f>289*1.2</f>
        <v>346.8</v>
      </c>
      <c r="E127" s="70"/>
      <c r="F127" s="41">
        <f t="shared" si="3"/>
        <v>0</v>
      </c>
    </row>
    <row r="128" spans="1:6" ht="25.5">
      <c r="A128" s="37">
        <v>127</v>
      </c>
      <c r="B128" s="45" t="s">
        <v>22</v>
      </c>
      <c r="C128" s="46" t="s">
        <v>17</v>
      </c>
      <c r="D128" s="75">
        <f>334*1.2</f>
        <v>400.8</v>
      </c>
      <c r="E128" s="70"/>
      <c r="F128" s="41">
        <f t="shared" si="3"/>
        <v>0</v>
      </c>
    </row>
    <row r="129" spans="1:6" ht="25.5">
      <c r="A129" s="37">
        <v>128</v>
      </c>
      <c r="B129" s="45" t="s">
        <v>23</v>
      </c>
      <c r="C129" s="46" t="s">
        <v>17</v>
      </c>
      <c r="D129" s="75">
        <f>464*1.2</f>
        <v>556.8</v>
      </c>
      <c r="E129" s="70"/>
      <c r="F129" s="41">
        <f aca="true" t="shared" si="4" ref="F129:F160">E129*D129</f>
        <v>0</v>
      </c>
    </row>
    <row r="130" spans="1:6" ht="25.5">
      <c r="A130" s="37">
        <v>129</v>
      </c>
      <c r="B130" s="45" t="s">
        <v>24</v>
      </c>
      <c r="C130" s="46" t="s">
        <v>17</v>
      </c>
      <c r="D130" s="75">
        <f>528*1.2</f>
        <v>633.6</v>
      </c>
      <c r="E130" s="70"/>
      <c r="F130" s="41">
        <f t="shared" si="4"/>
        <v>0</v>
      </c>
    </row>
    <row r="131" spans="1:6" ht="25.5">
      <c r="A131" s="37">
        <v>130</v>
      </c>
      <c r="B131" s="45" t="s">
        <v>25</v>
      </c>
      <c r="C131" s="46" t="s">
        <v>17</v>
      </c>
      <c r="D131" s="75">
        <f>649*1.2</f>
        <v>778.8</v>
      </c>
      <c r="E131" s="70"/>
      <c r="F131" s="41">
        <f t="shared" si="4"/>
        <v>0</v>
      </c>
    </row>
    <row r="132" spans="1:6" ht="25.5">
      <c r="A132" s="37">
        <v>131</v>
      </c>
      <c r="B132" s="45" t="s">
        <v>26</v>
      </c>
      <c r="C132" s="46" t="s">
        <v>17</v>
      </c>
      <c r="D132" s="75">
        <f>857*1.2</f>
        <v>1028.3999999999999</v>
      </c>
      <c r="E132" s="70"/>
      <c r="F132" s="41">
        <f t="shared" si="4"/>
        <v>0</v>
      </c>
    </row>
    <row r="133" spans="1:6" ht="25.5">
      <c r="A133" s="37">
        <v>132</v>
      </c>
      <c r="B133" s="45" t="s">
        <v>28</v>
      </c>
      <c r="C133" s="46" t="s">
        <v>17</v>
      </c>
      <c r="D133" s="75">
        <f>493*1.2</f>
        <v>591.6</v>
      </c>
      <c r="E133" s="70"/>
      <c r="F133" s="41">
        <f t="shared" si="4"/>
        <v>0</v>
      </c>
    </row>
    <row r="134" spans="1:6" ht="25.5">
      <c r="A134" s="37">
        <v>133</v>
      </c>
      <c r="B134" s="45" t="s">
        <v>27</v>
      </c>
      <c r="C134" s="46" t="s">
        <v>17</v>
      </c>
      <c r="D134" s="75">
        <f>693*1.2</f>
        <v>831.6</v>
      </c>
      <c r="E134" s="70"/>
      <c r="F134" s="41">
        <f t="shared" si="4"/>
        <v>0</v>
      </c>
    </row>
    <row r="135" spans="1:6" ht="25.5">
      <c r="A135" s="37">
        <v>134</v>
      </c>
      <c r="B135" s="45" t="s">
        <v>29</v>
      </c>
      <c r="C135" s="46" t="s">
        <v>17</v>
      </c>
      <c r="D135" s="75">
        <f>1021*1.2</f>
        <v>1225.2</v>
      </c>
      <c r="E135" s="70"/>
      <c r="F135" s="41">
        <f t="shared" si="4"/>
        <v>0</v>
      </c>
    </row>
    <row r="136" spans="1:6" ht="12.75">
      <c r="A136" s="37">
        <v>135</v>
      </c>
      <c r="B136" s="45" t="s">
        <v>107</v>
      </c>
      <c r="C136" s="46" t="s">
        <v>17</v>
      </c>
      <c r="D136" s="75">
        <f>57*1.2</f>
        <v>68.39999999999999</v>
      </c>
      <c r="E136" s="70"/>
      <c r="F136" s="41">
        <f t="shared" si="4"/>
        <v>0</v>
      </c>
    </row>
    <row r="137" spans="1:6" ht="12.75">
      <c r="A137" s="37">
        <v>136</v>
      </c>
      <c r="B137" s="45" t="s">
        <v>106</v>
      </c>
      <c r="C137" s="46" t="s">
        <v>17</v>
      </c>
      <c r="D137" s="75">
        <f>113*1.2</f>
        <v>135.6</v>
      </c>
      <c r="E137" s="70"/>
      <c r="F137" s="41">
        <f t="shared" si="4"/>
        <v>0</v>
      </c>
    </row>
    <row r="138" spans="1:6" ht="12.75">
      <c r="A138" s="37">
        <v>137</v>
      </c>
      <c r="B138" s="45" t="s">
        <v>105</v>
      </c>
      <c r="C138" s="46" t="s">
        <v>17</v>
      </c>
      <c r="D138" s="75">
        <f>128*1.2</f>
        <v>153.6</v>
      </c>
      <c r="E138" s="70"/>
      <c r="F138" s="41">
        <f t="shared" si="4"/>
        <v>0</v>
      </c>
    </row>
    <row r="139" spans="1:6" ht="25.5">
      <c r="A139" s="37">
        <v>138</v>
      </c>
      <c r="B139" s="45" t="s">
        <v>185</v>
      </c>
      <c r="C139" s="46" t="s">
        <v>156</v>
      </c>
      <c r="D139" s="75">
        <f>200*1.2</f>
        <v>240</v>
      </c>
      <c r="E139" s="70"/>
      <c r="F139" s="41">
        <f t="shared" si="4"/>
        <v>0</v>
      </c>
    </row>
    <row r="140" spans="1:6" ht="12.75">
      <c r="A140" s="37">
        <v>139</v>
      </c>
      <c r="B140" s="45" t="s">
        <v>11</v>
      </c>
      <c r="C140" s="46" t="s">
        <v>156</v>
      </c>
      <c r="D140" s="75">
        <f>191*1.2</f>
        <v>229.2</v>
      </c>
      <c r="E140" s="70"/>
      <c r="F140" s="41">
        <f t="shared" si="4"/>
        <v>0</v>
      </c>
    </row>
    <row r="141" spans="1:6" ht="12.75">
      <c r="A141" s="37">
        <v>140</v>
      </c>
      <c r="B141" s="45" t="s">
        <v>192</v>
      </c>
      <c r="C141" s="46" t="s">
        <v>156</v>
      </c>
      <c r="D141" s="75">
        <f>15*1.2</f>
        <v>18</v>
      </c>
      <c r="E141" s="70"/>
      <c r="F141" s="41">
        <f t="shared" si="4"/>
        <v>0</v>
      </c>
    </row>
    <row r="142" spans="1:6" ht="12.75">
      <c r="A142" s="37">
        <v>141</v>
      </c>
      <c r="B142" s="45" t="s">
        <v>193</v>
      </c>
      <c r="C142" s="46" t="s">
        <v>156</v>
      </c>
      <c r="D142" s="75">
        <f>15*1.2</f>
        <v>18</v>
      </c>
      <c r="E142" s="70"/>
      <c r="F142" s="41">
        <f t="shared" si="4"/>
        <v>0</v>
      </c>
    </row>
    <row r="143" spans="1:6" ht="12.75">
      <c r="A143" s="37">
        <v>142</v>
      </c>
      <c r="B143" s="45" t="s">
        <v>194</v>
      </c>
      <c r="C143" s="46" t="s">
        <v>156</v>
      </c>
      <c r="D143" s="75">
        <f>15*1.2</f>
        <v>18</v>
      </c>
      <c r="E143" s="70"/>
      <c r="F143" s="41">
        <f t="shared" si="4"/>
        <v>0</v>
      </c>
    </row>
    <row r="144" spans="1:6" ht="12.75">
      <c r="A144" s="37">
        <v>143</v>
      </c>
      <c r="B144" s="45" t="s">
        <v>195</v>
      </c>
      <c r="C144" s="46" t="s">
        <v>156</v>
      </c>
      <c r="D144" s="75">
        <f>15*1.2</f>
        <v>18</v>
      </c>
      <c r="E144" s="70"/>
      <c r="F144" s="41">
        <f t="shared" si="4"/>
        <v>0</v>
      </c>
    </row>
    <row r="145" spans="1:6" ht="12.75">
      <c r="A145" s="37">
        <v>144</v>
      </c>
      <c r="B145" s="45" t="s">
        <v>196</v>
      </c>
      <c r="C145" s="46" t="s">
        <v>156</v>
      </c>
      <c r="D145" s="75">
        <f>15*1.2</f>
        <v>18</v>
      </c>
      <c r="E145" s="70"/>
      <c r="F145" s="41">
        <f t="shared" si="4"/>
        <v>0</v>
      </c>
    </row>
    <row r="146" spans="1:6" ht="12.75">
      <c r="A146" s="37">
        <v>145</v>
      </c>
      <c r="B146" s="45" t="s">
        <v>186</v>
      </c>
      <c r="C146" s="46" t="s">
        <v>156</v>
      </c>
      <c r="D146" s="75">
        <f aca="true" t="shared" si="5" ref="D146:D151">97*1.2</f>
        <v>116.39999999999999</v>
      </c>
      <c r="E146" s="70"/>
      <c r="F146" s="41">
        <f t="shared" si="4"/>
        <v>0</v>
      </c>
    </row>
    <row r="147" spans="1:6" ht="12.75">
      <c r="A147" s="37">
        <v>146</v>
      </c>
      <c r="B147" s="45" t="s">
        <v>187</v>
      </c>
      <c r="C147" s="46" t="s">
        <v>156</v>
      </c>
      <c r="D147" s="75">
        <f t="shared" si="5"/>
        <v>116.39999999999999</v>
      </c>
      <c r="E147" s="70"/>
      <c r="F147" s="41">
        <f t="shared" si="4"/>
        <v>0</v>
      </c>
    </row>
    <row r="148" spans="1:6" ht="12.75">
      <c r="A148" s="37">
        <v>147</v>
      </c>
      <c r="B148" s="45" t="s">
        <v>188</v>
      </c>
      <c r="C148" s="46" t="s">
        <v>156</v>
      </c>
      <c r="D148" s="75">
        <f t="shared" si="5"/>
        <v>116.39999999999999</v>
      </c>
      <c r="E148" s="70"/>
      <c r="F148" s="41">
        <f t="shared" si="4"/>
        <v>0</v>
      </c>
    </row>
    <row r="149" spans="1:6" ht="12.75">
      <c r="A149" s="37">
        <v>148</v>
      </c>
      <c r="B149" s="45" t="s">
        <v>189</v>
      </c>
      <c r="C149" s="46" t="s">
        <v>156</v>
      </c>
      <c r="D149" s="75">
        <f t="shared" si="5"/>
        <v>116.39999999999999</v>
      </c>
      <c r="E149" s="70"/>
      <c r="F149" s="41">
        <f t="shared" si="4"/>
        <v>0</v>
      </c>
    </row>
    <row r="150" spans="1:6" ht="12.75">
      <c r="A150" s="37">
        <v>149</v>
      </c>
      <c r="B150" s="45" t="s">
        <v>190</v>
      </c>
      <c r="C150" s="46" t="s">
        <v>156</v>
      </c>
      <c r="D150" s="75">
        <f t="shared" si="5"/>
        <v>116.39999999999999</v>
      </c>
      <c r="E150" s="70"/>
      <c r="F150" s="41">
        <f t="shared" si="4"/>
        <v>0</v>
      </c>
    </row>
    <row r="151" spans="1:6" ht="12.75">
      <c r="A151" s="37">
        <v>150</v>
      </c>
      <c r="B151" s="45" t="s">
        <v>191</v>
      </c>
      <c r="C151" s="46" t="s">
        <v>156</v>
      </c>
      <c r="D151" s="75">
        <f t="shared" si="5"/>
        <v>116.39999999999999</v>
      </c>
      <c r="E151" s="70"/>
      <c r="F151" s="41">
        <f t="shared" si="4"/>
        <v>0</v>
      </c>
    </row>
    <row r="152" spans="1:6" ht="12.75">
      <c r="A152" s="37">
        <v>151</v>
      </c>
      <c r="B152" s="45" t="s">
        <v>79</v>
      </c>
      <c r="C152" s="46" t="s">
        <v>156</v>
      </c>
      <c r="D152" s="75">
        <f>860*1.2</f>
        <v>1032</v>
      </c>
      <c r="E152" s="70"/>
      <c r="F152" s="41">
        <f t="shared" si="4"/>
        <v>0</v>
      </c>
    </row>
    <row r="153" spans="1:6" ht="12.75">
      <c r="A153" s="37">
        <v>152</v>
      </c>
      <c r="B153" s="45" t="s">
        <v>117</v>
      </c>
      <c r="C153" s="46" t="s">
        <v>156</v>
      </c>
      <c r="D153" s="75">
        <f>223*1.2</f>
        <v>267.59999999999997</v>
      </c>
      <c r="E153" s="70"/>
      <c r="F153" s="41">
        <f t="shared" si="4"/>
        <v>0</v>
      </c>
    </row>
    <row r="154" spans="1:6" ht="12.75">
      <c r="A154" s="37">
        <v>153</v>
      </c>
      <c r="B154" s="45" t="s">
        <v>75</v>
      </c>
      <c r="C154" s="46" t="s">
        <v>156</v>
      </c>
      <c r="D154" s="75">
        <f>223*1.2</f>
        <v>267.59999999999997</v>
      </c>
      <c r="E154" s="70"/>
      <c r="F154" s="41">
        <f t="shared" si="4"/>
        <v>0</v>
      </c>
    </row>
    <row r="155" spans="1:6" ht="12.75">
      <c r="A155" s="37">
        <v>154</v>
      </c>
      <c r="B155" s="47" t="s">
        <v>76</v>
      </c>
      <c r="C155" s="46" t="s">
        <v>17</v>
      </c>
      <c r="D155" s="75">
        <f>23*1.2</f>
        <v>27.599999999999998</v>
      </c>
      <c r="E155" s="70"/>
      <c r="F155" s="41">
        <f t="shared" si="4"/>
        <v>0</v>
      </c>
    </row>
    <row r="156" spans="1:6" ht="12.75">
      <c r="A156" s="37">
        <v>155</v>
      </c>
      <c r="B156" s="47" t="s">
        <v>77</v>
      </c>
      <c r="C156" s="46" t="s">
        <v>17</v>
      </c>
      <c r="D156" s="75">
        <f>36*1.2</f>
        <v>43.199999999999996</v>
      </c>
      <c r="E156" s="70"/>
      <c r="F156" s="41">
        <f t="shared" si="4"/>
        <v>0</v>
      </c>
    </row>
    <row r="157" spans="1:6" ht="12.75">
      <c r="A157" s="37">
        <v>156</v>
      </c>
      <c r="B157" s="45" t="s">
        <v>33</v>
      </c>
      <c r="C157" s="46" t="s">
        <v>17</v>
      </c>
      <c r="D157" s="75">
        <f>121*1.2</f>
        <v>145.2</v>
      </c>
      <c r="E157" s="70"/>
      <c r="F157" s="41">
        <f t="shared" si="4"/>
        <v>0</v>
      </c>
    </row>
    <row r="158" spans="1:6" ht="12.75">
      <c r="A158" s="37">
        <v>157</v>
      </c>
      <c r="B158" s="45" t="s">
        <v>34</v>
      </c>
      <c r="C158" s="46" t="s">
        <v>17</v>
      </c>
      <c r="D158" s="75">
        <f>149*1.2</f>
        <v>178.79999999999998</v>
      </c>
      <c r="E158" s="70"/>
      <c r="F158" s="41">
        <f t="shared" si="4"/>
        <v>0</v>
      </c>
    </row>
    <row r="159" spans="1:6" ht="12.75">
      <c r="A159" s="37">
        <v>158</v>
      </c>
      <c r="B159" s="45" t="s">
        <v>35</v>
      </c>
      <c r="C159" s="46" t="s">
        <v>17</v>
      </c>
      <c r="D159" s="75">
        <f>173*1.2</f>
        <v>207.6</v>
      </c>
      <c r="E159" s="70"/>
      <c r="F159" s="41">
        <f t="shared" si="4"/>
        <v>0</v>
      </c>
    </row>
    <row r="160" spans="1:6" ht="12.75">
      <c r="A160" s="37">
        <v>159</v>
      </c>
      <c r="B160" s="45" t="s">
        <v>36</v>
      </c>
      <c r="C160" s="46" t="s">
        <v>17</v>
      </c>
      <c r="D160" s="75">
        <f>194*1.2</f>
        <v>232.79999999999998</v>
      </c>
      <c r="E160" s="70"/>
      <c r="F160" s="41">
        <f t="shared" si="4"/>
        <v>0</v>
      </c>
    </row>
    <row r="161" spans="1:6" ht="12.75">
      <c r="A161" s="37">
        <v>160</v>
      </c>
      <c r="B161" s="45" t="s">
        <v>37</v>
      </c>
      <c r="C161" s="46" t="s">
        <v>17</v>
      </c>
      <c r="D161" s="75">
        <f>268*1.2</f>
        <v>321.59999999999997</v>
      </c>
      <c r="E161" s="70"/>
      <c r="F161" s="41">
        <f aca="true" t="shared" si="6" ref="F161:F191">E161*D161</f>
        <v>0</v>
      </c>
    </row>
    <row r="162" spans="1:6" ht="12.75">
      <c r="A162" s="37">
        <v>161</v>
      </c>
      <c r="B162" s="47" t="s">
        <v>109</v>
      </c>
      <c r="C162" s="46" t="s">
        <v>156</v>
      </c>
      <c r="D162" s="75">
        <f>14*1.2</f>
        <v>16.8</v>
      </c>
      <c r="E162" s="70"/>
      <c r="F162" s="41">
        <f t="shared" si="6"/>
        <v>0</v>
      </c>
    </row>
    <row r="163" spans="1:6" ht="12.75">
      <c r="A163" s="37">
        <v>162</v>
      </c>
      <c r="B163" s="47" t="s">
        <v>108</v>
      </c>
      <c r="C163" s="46" t="s">
        <v>156</v>
      </c>
      <c r="D163" s="75">
        <f>15*1.2</f>
        <v>18</v>
      </c>
      <c r="E163" s="70"/>
      <c r="F163" s="41">
        <f t="shared" si="6"/>
        <v>0</v>
      </c>
    </row>
    <row r="164" spans="1:6" ht="12.75">
      <c r="A164" s="37">
        <v>163</v>
      </c>
      <c r="B164" s="45" t="s">
        <v>197</v>
      </c>
      <c r="C164" s="46" t="s">
        <v>156</v>
      </c>
      <c r="D164" s="75">
        <f>266*1.2</f>
        <v>319.2</v>
      </c>
      <c r="E164" s="70"/>
      <c r="F164" s="41">
        <f t="shared" si="6"/>
        <v>0</v>
      </c>
    </row>
    <row r="165" spans="1:6" ht="12.75">
      <c r="A165" s="37">
        <v>164</v>
      </c>
      <c r="B165" s="47" t="s">
        <v>198</v>
      </c>
      <c r="C165" s="46" t="s">
        <v>156</v>
      </c>
      <c r="D165" s="75">
        <f>340*1.2</f>
        <v>408</v>
      </c>
      <c r="E165" s="70"/>
      <c r="F165" s="41">
        <f t="shared" si="6"/>
        <v>0</v>
      </c>
    </row>
    <row r="166" spans="1:6" ht="12.75">
      <c r="A166" s="37">
        <v>165</v>
      </c>
      <c r="B166" s="45" t="s">
        <v>118</v>
      </c>
      <c r="C166" s="46" t="s">
        <v>156</v>
      </c>
      <c r="D166" s="75">
        <f>106*1.2</f>
        <v>127.19999999999999</v>
      </c>
      <c r="E166" s="70"/>
      <c r="F166" s="41">
        <f t="shared" si="6"/>
        <v>0</v>
      </c>
    </row>
    <row r="167" spans="1:6" ht="12.75">
      <c r="A167" s="37">
        <v>166</v>
      </c>
      <c r="B167" s="45" t="s">
        <v>119</v>
      </c>
      <c r="C167" s="46" t="s">
        <v>156</v>
      </c>
      <c r="D167" s="75">
        <f>106*1.2</f>
        <v>127.19999999999999</v>
      </c>
      <c r="E167" s="70"/>
      <c r="F167" s="41">
        <f t="shared" si="6"/>
        <v>0</v>
      </c>
    </row>
    <row r="168" spans="1:6" ht="12.75">
      <c r="A168" s="37">
        <v>167</v>
      </c>
      <c r="B168" s="47" t="s">
        <v>40</v>
      </c>
      <c r="C168" s="46" t="s">
        <v>17</v>
      </c>
      <c r="D168" s="75">
        <f>53*1.2</f>
        <v>63.599999999999994</v>
      </c>
      <c r="E168" s="70"/>
      <c r="F168" s="41">
        <f t="shared" si="6"/>
        <v>0</v>
      </c>
    </row>
    <row r="169" spans="1:6" ht="12.75">
      <c r="A169" s="37">
        <v>168</v>
      </c>
      <c r="B169" s="47" t="s">
        <v>41</v>
      </c>
      <c r="C169" s="46" t="s">
        <v>17</v>
      </c>
      <c r="D169" s="75">
        <f>47*1.2</f>
        <v>56.4</v>
      </c>
      <c r="E169" s="70"/>
      <c r="F169" s="41">
        <f t="shared" si="6"/>
        <v>0</v>
      </c>
    </row>
    <row r="170" spans="1:6" ht="12.75">
      <c r="A170" s="37">
        <v>169</v>
      </c>
      <c r="B170" s="47" t="s">
        <v>120</v>
      </c>
      <c r="C170" s="46" t="s">
        <v>156</v>
      </c>
      <c r="D170" s="75">
        <f>208*1.2</f>
        <v>249.6</v>
      </c>
      <c r="E170" s="70"/>
      <c r="F170" s="41">
        <f t="shared" si="6"/>
        <v>0</v>
      </c>
    </row>
    <row r="171" spans="1:6" ht="12.75">
      <c r="A171" s="37">
        <v>170</v>
      </c>
      <c r="B171" s="47" t="s">
        <v>199</v>
      </c>
      <c r="C171" s="46" t="s">
        <v>156</v>
      </c>
      <c r="D171" s="75">
        <f>124*1.2</f>
        <v>148.79999999999998</v>
      </c>
      <c r="E171" s="70"/>
      <c r="F171" s="41">
        <f t="shared" si="6"/>
        <v>0</v>
      </c>
    </row>
    <row r="172" spans="1:6" ht="12.75">
      <c r="A172" s="37">
        <v>171</v>
      </c>
      <c r="B172" s="47" t="s">
        <v>200</v>
      </c>
      <c r="C172" s="46" t="s">
        <v>156</v>
      </c>
      <c r="D172" s="75">
        <f>969*1.2</f>
        <v>1162.8</v>
      </c>
      <c r="E172" s="70"/>
      <c r="F172" s="41">
        <f t="shared" si="6"/>
        <v>0</v>
      </c>
    </row>
    <row r="173" spans="1:6" ht="12.75">
      <c r="A173" s="37">
        <v>172</v>
      </c>
      <c r="B173" s="47" t="s">
        <v>38</v>
      </c>
      <c r="C173" s="46" t="s">
        <v>156</v>
      </c>
      <c r="D173" s="75">
        <f>419*1.2</f>
        <v>502.79999999999995</v>
      </c>
      <c r="E173" s="70"/>
      <c r="F173" s="41">
        <f t="shared" si="6"/>
        <v>0</v>
      </c>
    </row>
    <row r="174" spans="1:6" ht="12.75">
      <c r="A174" s="37">
        <v>173</v>
      </c>
      <c r="B174" s="47" t="s">
        <v>39</v>
      </c>
      <c r="C174" s="46" t="s">
        <v>156</v>
      </c>
      <c r="D174" s="75">
        <f>2343*1.2</f>
        <v>2811.6</v>
      </c>
      <c r="E174" s="70"/>
      <c r="F174" s="41">
        <f t="shared" si="6"/>
        <v>0</v>
      </c>
    </row>
    <row r="175" spans="1:6" ht="12.75">
      <c r="A175" s="37">
        <v>174</v>
      </c>
      <c r="B175" s="45" t="s">
        <v>204</v>
      </c>
      <c r="C175" s="46" t="s">
        <v>156</v>
      </c>
      <c r="D175" s="75">
        <f>75*1.2</f>
        <v>90</v>
      </c>
      <c r="E175" s="70"/>
      <c r="F175" s="41">
        <f t="shared" si="6"/>
        <v>0</v>
      </c>
    </row>
    <row r="176" spans="1:6" ht="12.75">
      <c r="A176" s="37">
        <v>175</v>
      </c>
      <c r="B176" s="45" t="s">
        <v>201</v>
      </c>
      <c r="C176" s="46" t="s">
        <v>156</v>
      </c>
      <c r="D176" s="75">
        <f>75*1.2</f>
        <v>90</v>
      </c>
      <c r="E176" s="70"/>
      <c r="F176" s="41">
        <f t="shared" si="6"/>
        <v>0</v>
      </c>
    </row>
    <row r="177" spans="1:6" ht="12.75">
      <c r="A177" s="37">
        <v>176</v>
      </c>
      <c r="B177" s="45" t="s">
        <v>202</v>
      </c>
      <c r="C177" s="46" t="s">
        <v>156</v>
      </c>
      <c r="D177" s="75">
        <f>75*1.2</f>
        <v>90</v>
      </c>
      <c r="E177" s="70"/>
      <c r="F177" s="41">
        <f t="shared" si="6"/>
        <v>0</v>
      </c>
    </row>
    <row r="178" spans="1:6" ht="12.75">
      <c r="A178" s="37">
        <v>177</v>
      </c>
      <c r="B178" s="45" t="s">
        <v>203</v>
      </c>
      <c r="C178" s="46" t="s">
        <v>156</v>
      </c>
      <c r="D178" s="75">
        <f>75*1.2</f>
        <v>90</v>
      </c>
      <c r="E178" s="70"/>
      <c r="F178" s="41">
        <f t="shared" si="6"/>
        <v>0</v>
      </c>
    </row>
    <row r="179" spans="1:6" ht="12.75">
      <c r="A179" s="37">
        <v>178</v>
      </c>
      <c r="B179" s="47" t="s">
        <v>14</v>
      </c>
      <c r="C179" s="46" t="s">
        <v>156</v>
      </c>
      <c r="D179" s="75">
        <f>263*1.2</f>
        <v>315.59999999999997</v>
      </c>
      <c r="E179" s="70"/>
      <c r="F179" s="41">
        <f t="shared" si="6"/>
        <v>0</v>
      </c>
    </row>
    <row r="180" spans="1:6" ht="12.75">
      <c r="A180" s="37">
        <v>179</v>
      </c>
      <c r="B180" s="47" t="s">
        <v>12</v>
      </c>
      <c r="C180" s="46" t="s">
        <v>156</v>
      </c>
      <c r="D180" s="75">
        <f>162*1.2</f>
        <v>194.4</v>
      </c>
      <c r="E180" s="70"/>
      <c r="F180" s="41">
        <f t="shared" si="6"/>
        <v>0</v>
      </c>
    </row>
    <row r="181" spans="1:6" ht="12.75">
      <c r="A181" s="37">
        <v>180</v>
      </c>
      <c r="B181" s="47" t="s">
        <v>13</v>
      </c>
      <c r="C181" s="46" t="s">
        <v>156</v>
      </c>
      <c r="D181" s="75">
        <f>86*1.2</f>
        <v>103.2</v>
      </c>
      <c r="E181" s="70"/>
      <c r="F181" s="41">
        <f t="shared" si="6"/>
        <v>0</v>
      </c>
    </row>
    <row r="182" spans="1:6" ht="12.75">
      <c r="A182" s="37">
        <v>181</v>
      </c>
      <c r="B182" s="45" t="s">
        <v>78</v>
      </c>
      <c r="C182" s="46" t="s">
        <v>156</v>
      </c>
      <c r="D182" s="75">
        <f>63*1.2</f>
        <v>75.6</v>
      </c>
      <c r="E182" s="70"/>
      <c r="F182" s="41">
        <f t="shared" si="6"/>
        <v>0</v>
      </c>
    </row>
    <row r="183" spans="1:6" ht="12.75">
      <c r="A183" s="37">
        <v>182</v>
      </c>
      <c r="B183" s="45" t="s">
        <v>15</v>
      </c>
      <c r="C183" s="46" t="s">
        <v>156</v>
      </c>
      <c r="D183" s="75">
        <f>813*1.2</f>
        <v>975.5999999999999</v>
      </c>
      <c r="E183" s="70"/>
      <c r="F183" s="41">
        <f t="shared" si="6"/>
        <v>0</v>
      </c>
    </row>
    <row r="184" spans="1:6" ht="12.75">
      <c r="A184" s="37">
        <v>183</v>
      </c>
      <c r="B184" s="47" t="s">
        <v>44</v>
      </c>
      <c r="C184" s="46" t="s">
        <v>17</v>
      </c>
      <c r="D184" s="75">
        <f>118*1.2</f>
        <v>141.6</v>
      </c>
      <c r="E184" s="70"/>
      <c r="F184" s="41">
        <f t="shared" si="6"/>
        <v>0</v>
      </c>
    </row>
    <row r="185" spans="1:6" ht="12.75">
      <c r="A185" s="37">
        <v>184</v>
      </c>
      <c r="B185" s="45" t="s">
        <v>45</v>
      </c>
      <c r="C185" s="46" t="s">
        <v>17</v>
      </c>
      <c r="D185" s="75">
        <f>326*1.2</f>
        <v>391.2</v>
      </c>
      <c r="E185" s="70"/>
      <c r="F185" s="41">
        <f t="shared" si="6"/>
        <v>0</v>
      </c>
    </row>
    <row r="186" spans="1:6" ht="12.75">
      <c r="A186" s="37">
        <v>185</v>
      </c>
      <c r="B186" s="45" t="s">
        <v>42</v>
      </c>
      <c r="C186" s="46" t="s">
        <v>17</v>
      </c>
      <c r="D186" s="75">
        <f>249*1.2</f>
        <v>298.8</v>
      </c>
      <c r="E186" s="70"/>
      <c r="F186" s="41">
        <f t="shared" si="6"/>
        <v>0</v>
      </c>
    </row>
    <row r="187" spans="1:6" ht="12.75">
      <c r="A187" s="37">
        <v>186</v>
      </c>
      <c r="B187" s="45" t="s">
        <v>43</v>
      </c>
      <c r="C187" s="46" t="s">
        <v>17</v>
      </c>
      <c r="D187" s="75">
        <f>249*1.2</f>
        <v>298.8</v>
      </c>
      <c r="E187" s="70"/>
      <c r="F187" s="41">
        <f t="shared" si="6"/>
        <v>0</v>
      </c>
    </row>
    <row r="188" spans="1:6" ht="12.75">
      <c r="A188" s="37">
        <v>187</v>
      </c>
      <c r="B188" s="45" t="s">
        <v>205</v>
      </c>
      <c r="C188" s="46" t="s">
        <v>156</v>
      </c>
      <c r="D188" s="75">
        <f>63*1.2</f>
        <v>75.6</v>
      </c>
      <c r="E188" s="70"/>
      <c r="F188" s="41">
        <f t="shared" si="6"/>
        <v>0</v>
      </c>
    </row>
    <row r="189" spans="1:6" ht="12.75">
      <c r="A189" s="37">
        <v>188</v>
      </c>
      <c r="B189" s="45" t="s">
        <v>206</v>
      </c>
      <c r="C189" s="46" t="s">
        <v>156</v>
      </c>
      <c r="D189" s="75">
        <f>1212*1.2</f>
        <v>1454.3999999999999</v>
      </c>
      <c r="E189" s="70"/>
      <c r="F189" s="41">
        <f t="shared" si="6"/>
        <v>0</v>
      </c>
    </row>
    <row r="190" spans="1:6" ht="12.75">
      <c r="A190" s="37">
        <v>189</v>
      </c>
      <c r="B190" s="49" t="s">
        <v>207</v>
      </c>
      <c r="C190" s="50" t="s">
        <v>156</v>
      </c>
      <c r="D190" s="77">
        <f>129*1.2</f>
        <v>154.79999999999998</v>
      </c>
      <c r="E190" s="70"/>
      <c r="F190" s="41">
        <f t="shared" si="6"/>
        <v>0</v>
      </c>
    </row>
    <row r="191" spans="1:6" ht="12.75">
      <c r="A191" s="37">
        <v>190</v>
      </c>
      <c r="B191" s="51" t="s">
        <v>208</v>
      </c>
      <c r="C191" s="46" t="s">
        <v>156</v>
      </c>
      <c r="D191" s="75">
        <f>129*1.2</f>
        <v>154.79999999999998</v>
      </c>
      <c r="E191" s="70"/>
      <c r="F191" s="41">
        <f t="shared" si="6"/>
        <v>0</v>
      </c>
    </row>
    <row r="192" spans="1:6" ht="12.75">
      <c r="A192" s="70"/>
      <c r="B192" s="70"/>
      <c r="C192" s="70"/>
      <c r="D192" s="70"/>
      <c r="E192" s="70"/>
      <c r="F192" s="70">
        <f>E192*D187</f>
        <v>0</v>
      </c>
    </row>
    <row r="193" spans="1:6" ht="12.75">
      <c r="A193" s="70"/>
      <c r="B193" s="70"/>
      <c r="C193" s="70"/>
      <c r="D193" s="70"/>
      <c r="E193" s="70"/>
      <c r="F193" s="70">
        <f>E193*D188</f>
        <v>0</v>
      </c>
    </row>
    <row r="194" spans="1:6" ht="12.75">
      <c r="A194" s="70"/>
      <c r="B194" s="70"/>
      <c r="C194" s="70"/>
      <c r="D194" s="70"/>
      <c r="E194" s="70"/>
      <c r="F194" s="70">
        <f>E194*D189</f>
        <v>0</v>
      </c>
    </row>
    <row r="195" spans="1:6" ht="12.75">
      <c r="A195" s="70"/>
      <c r="B195" s="70"/>
      <c r="C195" s="70"/>
      <c r="D195" s="70"/>
      <c r="E195" s="71"/>
      <c r="F195" s="70">
        <f>E195*D190</f>
        <v>0</v>
      </c>
    </row>
    <row r="196" spans="1:6" ht="12.75">
      <c r="A196" s="70"/>
      <c r="B196" s="70"/>
      <c r="C196" s="70"/>
      <c r="D196" s="70"/>
      <c r="E196" s="72"/>
      <c r="F196" s="70">
        <f>E196*D191</f>
        <v>0</v>
      </c>
    </row>
    <row r="197" spans="1:6" ht="14.25">
      <c r="A197" s="2"/>
      <c r="B197" s="38"/>
      <c r="C197" s="52"/>
      <c r="E197" s="54" t="s">
        <v>209</v>
      </c>
      <c r="F197" s="39">
        <f>SUM(F1:F196)</f>
        <v>0</v>
      </c>
    </row>
    <row r="199" spans="1:6" ht="18.75" customHeight="1">
      <c r="A199" s="56"/>
      <c r="B199" s="57" t="s">
        <v>210</v>
      </c>
      <c r="C199" s="95"/>
      <c r="D199" s="95"/>
      <c r="E199" s="58"/>
      <c r="F199" s="59"/>
    </row>
    <row r="200" spans="1:6" ht="18.75" customHeight="1">
      <c r="A200" s="56"/>
      <c r="B200" s="60" t="s">
        <v>211</v>
      </c>
      <c r="C200" s="95"/>
      <c r="D200" s="95"/>
      <c r="E200" s="58"/>
      <c r="F200" s="61"/>
    </row>
    <row r="201" spans="1:6" ht="18.75" customHeight="1">
      <c r="A201" s="56"/>
      <c r="B201" s="62" t="s">
        <v>236</v>
      </c>
      <c r="C201" s="96"/>
      <c r="D201" s="96"/>
      <c r="E201" s="58"/>
      <c r="F201" s="61"/>
    </row>
    <row r="202" spans="1:6" ht="18.75" customHeight="1">
      <c r="A202" s="63"/>
      <c r="B202" s="64" t="s">
        <v>212</v>
      </c>
      <c r="C202" s="65"/>
      <c r="D202" s="65"/>
      <c r="E202" s="74"/>
      <c r="F202" s="66" t="s">
        <v>242</v>
      </c>
    </row>
    <row r="203" spans="1:6" ht="18.75" customHeight="1">
      <c r="A203" s="56"/>
      <c r="B203" s="57"/>
      <c r="C203" s="67"/>
      <c r="D203" s="68" t="s">
        <v>237</v>
      </c>
      <c r="E203" s="56"/>
      <c r="F203" s="56"/>
    </row>
  </sheetData>
  <sheetProtection password="C486" sheet="1" objects="1" scenarios="1" insertRows="0" selectLockedCells="1" autoFilter="0"/>
  <autoFilter ref="A1:F197"/>
  <mergeCells count="3">
    <mergeCell ref="C200:D200"/>
    <mergeCell ref="C201:D201"/>
    <mergeCell ref="C199:D199"/>
  </mergeCells>
  <printOptions horizontalCentered="1"/>
  <pageMargins left="0.3937007874015748" right="0.3937007874015748" top="0.5905511811023623" bottom="0.3937007874015748" header="0.31496062992125984" footer="0.1968503937007874"/>
  <pageSetup horizontalDpi="300" verticalDpi="300" orientation="portrait" paperSize="9" r:id="rId1"/>
  <headerFooter alignWithMargins="0">
    <oddHeader>&amp;C&amp;F</oddHeader>
    <oddFooter>&amp;CСтраница &amp;P из &amp;N&amp;R2024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Авилов Евгений Николаевич</cp:lastModifiedBy>
  <cp:lastPrinted>2023-09-29T10:57:21Z</cp:lastPrinted>
  <dcterms:created xsi:type="dcterms:W3CDTF">2020-01-07T17:00:32Z</dcterms:created>
  <dcterms:modified xsi:type="dcterms:W3CDTF">2023-09-29T10:57:32Z</dcterms:modified>
  <cp:category/>
  <cp:version/>
  <cp:contentType/>
  <cp:contentStatus/>
</cp:coreProperties>
</file>